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Work\Teaching\Teaching Spring 2019\"/>
    </mc:Choice>
  </mc:AlternateContent>
  <bookViews>
    <workbookView xWindow="240" yWindow="120" windowWidth="15480" windowHeight="9825"/>
  </bookViews>
  <sheets>
    <sheet name="Optcalc template" sheetId="2" r:id="rId1"/>
    <sheet name="one-way table" sheetId="1" r:id="rId2"/>
    <sheet name="2-way" sheetId="3" r:id="rId3"/>
    <sheet name="Option portfolio" sheetId="4" r:id="rId4"/>
    <sheet name="American call" sheetId="5" r:id="rId5"/>
  </sheets>
  <calcPr calcId="152511"/>
</workbook>
</file>

<file path=xl/calcChain.xml><?xml version="1.0" encoding="utf-8"?>
<calcChain xmlns="http://schemas.openxmlformats.org/spreadsheetml/2006/main">
  <c r="I9" i="1" l="1"/>
  <c r="J7" i="1"/>
  <c r="K7" i="1" s="1"/>
  <c r="I7" i="1"/>
  <c r="I5" i="1" s="1"/>
  <c r="L5" i="1"/>
  <c r="K5" i="1"/>
  <c r="C4" i="1"/>
  <c r="K3" i="1"/>
  <c r="L3" i="1" s="1"/>
  <c r="D33" i="4"/>
  <c r="C33" i="4"/>
  <c r="D32" i="4"/>
  <c r="C32" i="4"/>
  <c r="D31" i="4"/>
  <c r="C31" i="4"/>
  <c r="D30" i="4"/>
  <c r="C30" i="4"/>
  <c r="C13" i="4"/>
  <c r="C15" i="4"/>
  <c r="C17" i="4"/>
  <c r="C18" i="4"/>
  <c r="C19" i="4"/>
  <c r="C12" i="4"/>
  <c r="M3" i="1" l="1"/>
  <c r="M7" i="1"/>
  <c r="M5" i="1"/>
  <c r="F4" i="1"/>
  <c r="H14" i="1" s="1"/>
  <c r="L7" i="1"/>
  <c r="I3" i="1"/>
  <c r="F5" i="1"/>
  <c r="I14" i="1" s="1"/>
  <c r="B36" i="4"/>
  <c r="B37" i="4" s="1"/>
  <c r="K13" i="4"/>
  <c r="B30" i="4"/>
  <c r="K3" i="4"/>
  <c r="B38" i="4"/>
  <c r="B33" i="4"/>
  <c r="B32" i="4"/>
  <c r="B31" i="4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C4" i="3"/>
  <c r="C17" i="5"/>
  <c r="C14" i="5"/>
  <c r="C5" i="5"/>
  <c r="I7" i="5"/>
  <c r="C4" i="5"/>
  <c r="I3" i="5" s="1"/>
  <c r="I9" i="5"/>
  <c r="J7" i="5"/>
  <c r="K7" i="5"/>
  <c r="K5" i="5"/>
  <c r="J17" i="4"/>
  <c r="I19" i="4"/>
  <c r="I17" i="4"/>
  <c r="K15" i="4"/>
  <c r="I9" i="4"/>
  <c r="J7" i="4"/>
  <c r="K7" i="4" s="1"/>
  <c r="I7" i="4"/>
  <c r="C4" i="4"/>
  <c r="C14" i="4" s="1"/>
  <c r="K5" i="4"/>
  <c r="I3" i="4"/>
  <c r="I9" i="3"/>
  <c r="J7" i="3"/>
  <c r="K7" i="3"/>
  <c r="I7" i="3"/>
  <c r="K5" i="3"/>
  <c r="K3" i="3"/>
  <c r="I9" i="2"/>
  <c r="J7" i="2"/>
  <c r="K7" i="2" s="1"/>
  <c r="I7" i="2"/>
  <c r="C4" i="2"/>
  <c r="I3" i="2" s="1"/>
  <c r="K5" i="2"/>
  <c r="K3" i="2"/>
  <c r="G5" i="1" l="1"/>
  <c r="G4" i="1"/>
  <c r="N3" i="1"/>
  <c r="G6" i="1" s="1"/>
  <c r="F6" i="1"/>
  <c r="J14" i="1" s="1"/>
  <c r="F7" i="1"/>
  <c r="K14" i="1" s="1"/>
  <c r="N5" i="1"/>
  <c r="F8" i="1"/>
  <c r="N7" i="1"/>
  <c r="G8" i="1" s="1"/>
  <c r="I5" i="2"/>
  <c r="M5" i="2" s="1"/>
  <c r="N5" i="2" s="1"/>
  <c r="L5" i="4"/>
  <c r="L15" i="4"/>
  <c r="I5" i="5"/>
  <c r="F5" i="5" s="1"/>
  <c r="G5" i="5" s="1"/>
  <c r="L3" i="2"/>
  <c r="L7" i="3"/>
  <c r="L3" i="4"/>
  <c r="M3" i="4" s="1"/>
  <c r="N3" i="4" s="1"/>
  <c r="L5" i="3"/>
  <c r="L3" i="3"/>
  <c r="M3" i="3" s="1"/>
  <c r="I3" i="3"/>
  <c r="L5" i="5"/>
  <c r="L5" i="2"/>
  <c r="I5" i="4"/>
  <c r="F5" i="4" s="1"/>
  <c r="K17" i="4"/>
  <c r="L7" i="4"/>
  <c r="K3" i="5"/>
  <c r="L3" i="5" s="1"/>
  <c r="M3" i="5" s="1"/>
  <c r="I5" i="3"/>
  <c r="M5" i="3" s="1"/>
  <c r="F5" i="2"/>
  <c r="G5" i="2" s="1"/>
  <c r="M3" i="2"/>
  <c r="L7" i="5"/>
  <c r="L7" i="2"/>
  <c r="G7" i="1" l="1"/>
  <c r="F4" i="5"/>
  <c r="C16" i="5" s="1"/>
  <c r="C19" i="5" s="1"/>
  <c r="C21" i="5" s="1"/>
  <c r="M7" i="5"/>
  <c r="F8" i="5" s="1"/>
  <c r="I13" i="4"/>
  <c r="M5" i="5"/>
  <c r="F7" i="5" s="1"/>
  <c r="F4" i="2"/>
  <c r="G4" i="2" s="1"/>
  <c r="G7" i="2" s="1"/>
  <c r="M7" i="2"/>
  <c r="N7" i="2" s="1"/>
  <c r="G8" i="2" s="1"/>
  <c r="I15" i="4"/>
  <c r="F15" i="4" s="1"/>
  <c r="L13" i="4"/>
  <c r="M13" i="4" s="1"/>
  <c r="G5" i="4"/>
  <c r="G6" i="4" s="1"/>
  <c r="C38" i="4"/>
  <c r="F6" i="4"/>
  <c r="F4" i="4"/>
  <c r="C36" i="4" s="1"/>
  <c r="N7" i="5"/>
  <c r="N5" i="3"/>
  <c r="M5" i="4"/>
  <c r="F4" i="3"/>
  <c r="G14" i="3" s="1"/>
  <c r="F7" i="2"/>
  <c r="N3" i="2"/>
  <c r="G6" i="2" s="1"/>
  <c r="F6" i="2"/>
  <c r="F5" i="3"/>
  <c r="G5" i="3" s="1"/>
  <c r="M7" i="4"/>
  <c r="L17" i="4"/>
  <c r="M7" i="3"/>
  <c r="F6" i="5"/>
  <c r="N3" i="5"/>
  <c r="G6" i="5" s="1"/>
  <c r="N3" i="3"/>
  <c r="N5" i="5" l="1"/>
  <c r="G7" i="5" s="1"/>
  <c r="G4" i="5"/>
  <c r="G8" i="5" s="1"/>
  <c r="D38" i="4"/>
  <c r="E38" i="4" s="1"/>
  <c r="E31" i="4"/>
  <c r="F31" i="4" s="1"/>
  <c r="C39" i="4"/>
  <c r="F7" i="3"/>
  <c r="N13" i="4"/>
  <c r="F16" i="4"/>
  <c r="G15" i="4"/>
  <c r="F8" i="2"/>
  <c r="M17" i="4"/>
  <c r="N17" i="4" s="1"/>
  <c r="F14" i="4"/>
  <c r="D36" i="4" s="1"/>
  <c r="M15" i="4"/>
  <c r="G6" i="3"/>
  <c r="F6" i="3"/>
  <c r="F8" i="3"/>
  <c r="N7" i="3"/>
  <c r="N7" i="4"/>
  <c r="F8" i="4"/>
  <c r="F7" i="4"/>
  <c r="N5" i="4"/>
  <c r="C37" i="4"/>
  <c r="G4" i="4"/>
  <c r="G4" i="3"/>
  <c r="G7" i="3" s="1"/>
  <c r="D39" i="4" l="1"/>
  <c r="E39" i="4" s="1"/>
  <c r="E32" i="4"/>
  <c r="F32" i="4" s="1"/>
  <c r="F18" i="4"/>
  <c r="E30" i="4"/>
  <c r="C40" i="4"/>
  <c r="G16" i="4"/>
  <c r="F17" i="4"/>
  <c r="N15" i="4"/>
  <c r="D37" i="4"/>
  <c r="E37" i="4" s="1"/>
  <c r="G14" i="4"/>
  <c r="G18" i="4" s="1"/>
  <c r="G8" i="4"/>
  <c r="G8" i="3"/>
  <c r="G7" i="4"/>
  <c r="E33" i="4" l="1"/>
  <c r="F37" i="4"/>
  <c r="H24" i="4" s="1"/>
  <c r="D40" i="4"/>
  <c r="E40" i="4" s="1"/>
  <c r="G17" i="4"/>
</calcChain>
</file>

<file path=xl/comments1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2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3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4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  <comment ref="C1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1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1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1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5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sharedStrings.xml><?xml version="1.0" encoding="utf-8"?>
<sst xmlns="http://schemas.openxmlformats.org/spreadsheetml/2006/main" count="239" uniqueCount="75">
  <si>
    <t>----------------INPUTS----------------</t>
  </si>
  <si>
    <t>----------------OUTPUTS----------------</t>
  </si>
  <si>
    <t>--------------------------------CALCULATION CELLS--------------------------------</t>
  </si>
  <si>
    <t>TODAY'S DATE</t>
  </si>
  <si>
    <t>ANNUALIZATION FACTOR</t>
  </si>
  <si>
    <t>S + .001</t>
  </si>
  <si>
    <t>NEW D1</t>
  </si>
  <si>
    <t>NEW CALL DELTA</t>
  </si>
  <si>
    <t>NEW PUT DELTA</t>
  </si>
  <si>
    <t>OPTION MATURITY</t>
  </si>
  <si>
    <t>CALL</t>
  </si>
  <si>
    <t>PUT</t>
  </si>
  <si>
    <t>TIME TO MATURITY</t>
  </si>
  <si>
    <t>VALUE</t>
  </si>
  <si>
    <t>D1</t>
  </si>
  <si>
    <t>VOLY + .0001</t>
  </si>
  <si>
    <t>NEW CALL VALUE</t>
  </si>
  <si>
    <t>NEW PUT VALUE</t>
  </si>
  <si>
    <t>ASSET PRICE</t>
  </si>
  <si>
    <t>DELTA</t>
  </si>
  <si>
    <t>STRIKE</t>
  </si>
  <si>
    <t>GAMMA</t>
  </si>
  <si>
    <t>CONTINUOUS r</t>
  </si>
  <si>
    <t>TODAY + 1 DAY</t>
  </si>
  <si>
    <t>NEW T TO MAT.</t>
  </si>
  <si>
    <t>INTEREST</t>
  </si>
  <si>
    <t>VEGA</t>
  </si>
  <si>
    <t>VOLATILITY</t>
  </si>
  <si>
    <t>THETA</t>
  </si>
  <si>
    <t>CONT. DIV</t>
  </si>
  <si>
    <t>PAYOUT RATE</t>
  </si>
  <si>
    <t>Stock</t>
  </si>
  <si>
    <t>S0</t>
  </si>
  <si>
    <t>#shares</t>
  </si>
  <si>
    <t>delta</t>
  </si>
  <si>
    <t>gamma</t>
  </si>
  <si>
    <t>vega</t>
  </si>
  <si>
    <t>current price</t>
  </si>
  <si>
    <t>current value</t>
  </si>
  <si>
    <t>C100</t>
  </si>
  <si>
    <t>C105</t>
  </si>
  <si>
    <t>Portfolio</t>
  </si>
  <si>
    <t>current pos'n delta</t>
  </si>
  <si>
    <t>current pos'n gamma</t>
  </si>
  <si>
    <t>current pos'n vega</t>
  </si>
  <si>
    <t>Portfolio P&amp;L</t>
  </si>
  <si>
    <t>Dividend</t>
  </si>
  <si>
    <t>Call value if not exercised</t>
  </si>
  <si>
    <t>Intrinsic value if exercised</t>
  </si>
  <si>
    <t>Stock price before going ex-div</t>
  </si>
  <si>
    <t>Stock price after going ex-div</t>
  </si>
  <si>
    <t>value of exercising early</t>
  </si>
  <si>
    <t>position delta</t>
  </si>
  <si>
    <t>position gamma</t>
  </si>
  <si>
    <t>position vega</t>
  </si>
  <si>
    <t>initial value (cost)</t>
  </si>
  <si>
    <t>Initial values</t>
  </si>
  <si>
    <t>Current values</t>
  </si>
  <si>
    <t>Intrinsic value</t>
  </si>
  <si>
    <t>Covered call</t>
  </si>
  <si>
    <t>Delta hedge</t>
  </si>
  <si>
    <t>Call</t>
  </si>
  <si>
    <t>Option v. option</t>
  </si>
  <si>
    <t>Delta-gamma hedge</t>
  </si>
  <si>
    <t>call delta</t>
  </si>
  <si>
    <t>saved results</t>
  </si>
  <si>
    <t>&lt;== CHANGE THIS STOCK PRICE TO FIND THE CRITICAL EARLY EXERCISE POINT (USE GOAL SEEK TO FIND IT AUTOMATICALLY)</t>
  </si>
  <si>
    <t>BLUE CELLS ARE FOR INPUT (PUT IN TWO DATES, OR ALTERNATIVELY, A SPECIFIED TIME TO MATURITY (E.G., 0.5 FOR HALF A YEAR)</t>
  </si>
  <si>
    <t>GREEN CELLS ARE OUTPUTS--BLACK-SCHOLES PRICES AND GREEKS</t>
  </si>
  <si>
    <t>BLACK CELLS ARE FOR CALCULATIONS.  DON'T CHANGE THESE</t>
  </si>
  <si>
    <t>TO USE THIS OPTION CALCULATOR, JUST COPY IT TO WHEREVER YOU NEED IT.  IT IS SELF-CONTAINED</t>
  </si>
  <si>
    <t>ENTER A POSITION IN CELLS B23-D23</t>
  </si>
  <si>
    <t>PORTFOLIO P&amp;L COMES OUT IN THIS COLUMN.  SAVE THESE RESULTS INTO THE COLUMNS ON THE RIGHT TO SHOW THEM ALTOGETHER IN THE GRAPH BELOW</t>
  </si>
  <si>
    <t>VVV</t>
  </si>
  <si>
    <t>THESE COLUMNS ARE PLOTTED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</si>
</sst>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3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b/>
      <sz val="10"/>
      <color indexed="17"/>
      <name val="Arial"/>
      <family val="2"/>
    </font>
    <font>
      <b/>
      <sz val="10"/>
      <color indexed="81"/>
      <name val="Tahoma"/>
      <family val="2"/>
    </font>
    <font>
      <b/>
      <u/>
      <sz val="12"/>
      <color indexed="81"/>
      <name val="Tahoma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rgb="FF3366FF"/>
      <name val="Arial"/>
      <family val="2"/>
    </font>
    <font>
      <b/>
      <sz val="10"/>
      <color rgb="FF008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quotePrefix="1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2" xfId="0" applyBorder="1" applyAlignment="1" applyProtection="1">
      <alignment horizontal="centerContinuous"/>
      <protection locked="0"/>
    </xf>
    <xf numFmtId="0" fontId="0" fillId="0" borderId="2" xfId="0" applyBorder="1" applyProtection="1">
      <protection locked="0"/>
    </xf>
    <xf numFmtId="0" fontId="1" fillId="0" borderId="2" xfId="0" quotePrefix="1" applyFont="1" applyBorder="1" applyAlignment="1" applyProtection="1">
      <alignment horizontal="centerContinuous"/>
      <protection locked="0"/>
    </xf>
    <xf numFmtId="0" fontId="2" fillId="0" borderId="2" xfId="0" applyFont="1" applyBorder="1" applyAlignment="1" applyProtection="1">
      <alignment horizontal="centerContinuous"/>
      <protection locked="0"/>
    </xf>
    <xf numFmtId="0" fontId="2" fillId="0" borderId="3" xfId="0" applyFont="1" applyBorder="1" applyAlignment="1" applyProtection="1">
      <alignment horizontal="centerContinuous"/>
      <protection locked="0"/>
    </xf>
    <xf numFmtId="0" fontId="2" fillId="0" borderId="4" xfId="0" applyFont="1" applyBorder="1"/>
    <xf numFmtId="0" fontId="2" fillId="0" borderId="0" xfId="0" applyFont="1" applyBorder="1"/>
    <xf numFmtId="14" fontId="3" fillId="0" borderId="0" xfId="0" applyNumberFormat="1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/>
    <xf numFmtId="164" fontId="3" fillId="0" borderId="0" xfId="0" applyNumberFormat="1" applyFont="1" applyBorder="1" applyProtection="1">
      <protection locked="0"/>
    </xf>
    <xf numFmtId="164" fontId="4" fillId="0" borderId="0" xfId="0" applyNumberFormat="1" applyFont="1" applyBorder="1" applyProtection="1">
      <protection locked="0"/>
    </xf>
    <xf numFmtId="0" fontId="3" fillId="0" borderId="0" xfId="0" applyFont="1" applyBorder="1" applyProtection="1">
      <protection locked="0"/>
    </xf>
    <xf numFmtId="165" fontId="4" fillId="0" borderId="0" xfId="0" applyNumberFormat="1" applyFont="1" applyBorder="1" applyProtection="1">
      <protection locked="0"/>
    </xf>
    <xf numFmtId="14" fontId="0" fillId="0" borderId="0" xfId="0" applyNumberFormat="1" applyBorder="1" applyProtection="1">
      <protection locked="0"/>
    </xf>
    <xf numFmtId="10" fontId="3" fillId="0" borderId="0" xfId="0" applyNumberFormat="1" applyFont="1" applyBorder="1" applyProtection="1">
      <protection locked="0"/>
    </xf>
    <xf numFmtId="0" fontId="2" fillId="0" borderId="6" xfId="0" applyFont="1" applyBorder="1"/>
    <xf numFmtId="0" fontId="2" fillId="0" borderId="7" xfId="0" applyFont="1" applyBorder="1"/>
    <xf numFmtId="0" fontId="3" fillId="0" borderId="7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164" fontId="0" fillId="0" borderId="0" xfId="0" applyNumberFormat="1"/>
    <xf numFmtId="14" fontId="0" fillId="0" borderId="0" xfId="0" applyNumberFormat="1"/>
    <xf numFmtId="0" fontId="2" fillId="0" borderId="1" xfId="0" quotePrefix="1" applyFont="1" applyBorder="1" applyAlignment="1">
      <alignment horizontal="centerContinuous"/>
    </xf>
    <xf numFmtId="0" fontId="7" fillId="0" borderId="2" xfId="0" applyFont="1" applyBorder="1" applyAlignment="1">
      <alignment horizontal="centerContinuous"/>
    </xf>
    <xf numFmtId="0" fontId="7" fillId="0" borderId="2" xfId="0" applyFont="1" applyBorder="1" applyAlignment="1" applyProtection="1">
      <alignment horizontal="centerContinuous"/>
      <protection locked="0"/>
    </xf>
    <xf numFmtId="0" fontId="7" fillId="0" borderId="2" xfId="0" applyFont="1" applyBorder="1" applyProtection="1">
      <protection locked="0"/>
    </xf>
    <xf numFmtId="0" fontId="2" fillId="0" borderId="2" xfId="0" quotePrefix="1" applyFont="1" applyBorder="1" applyAlignment="1" applyProtection="1">
      <alignment horizontal="centerContinuous"/>
      <protection locked="0"/>
    </xf>
    <xf numFmtId="0" fontId="7" fillId="0" borderId="0" xfId="0" applyFont="1"/>
    <xf numFmtId="0" fontId="7" fillId="0" borderId="0" xfId="0" applyFont="1" applyBorder="1" applyProtection="1">
      <protection locked="0"/>
    </xf>
    <xf numFmtId="0" fontId="7" fillId="0" borderId="5" xfId="0" applyFont="1" applyBorder="1" applyProtection="1">
      <protection locked="0"/>
    </xf>
    <xf numFmtId="0" fontId="7" fillId="0" borderId="0" xfId="0" applyFont="1" applyBorder="1"/>
    <xf numFmtId="14" fontId="7" fillId="0" borderId="0" xfId="0" applyNumberFormat="1" applyFont="1" applyBorder="1" applyProtection="1">
      <protection locked="0"/>
    </xf>
    <xf numFmtId="0" fontId="7" fillId="0" borderId="7" xfId="0" applyFont="1" applyBorder="1" applyProtection="1">
      <protection locked="0"/>
    </xf>
    <xf numFmtId="0" fontId="7" fillId="0" borderId="8" xfId="0" applyFont="1" applyBorder="1" applyProtection="1">
      <protection locked="0"/>
    </xf>
    <xf numFmtId="2" fontId="0" fillId="0" borderId="0" xfId="0" applyNumberFormat="1"/>
    <xf numFmtId="164" fontId="7" fillId="0" borderId="0" xfId="0" applyNumberFormat="1" applyFont="1"/>
    <xf numFmtId="2" fontId="7" fillId="0" borderId="0" xfId="0" applyNumberFormat="1" applyFont="1"/>
    <xf numFmtId="164" fontId="7" fillId="2" borderId="0" xfId="0" applyNumberFormat="1" applyFont="1" applyFill="1"/>
    <xf numFmtId="0" fontId="0" fillId="3" borderId="9" xfId="0" applyFill="1" applyBorder="1"/>
    <xf numFmtId="0" fontId="7" fillId="3" borderId="0" xfId="0" applyFont="1" applyFill="1"/>
    <xf numFmtId="164" fontId="7" fillId="3" borderId="0" xfId="0" applyNumberFormat="1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165" fontId="0" fillId="0" borderId="0" xfId="0" applyNumberFormat="1"/>
    <xf numFmtId="164" fontId="9" fillId="0" borderId="0" xfId="0" applyNumberFormat="1" applyFont="1" applyBorder="1" applyProtection="1">
      <protection locked="0"/>
    </xf>
    <xf numFmtId="0" fontId="9" fillId="0" borderId="0" xfId="0" applyFont="1"/>
    <xf numFmtId="165" fontId="10" fillId="0" borderId="0" xfId="0" applyNumberFormat="1" applyFont="1" applyBorder="1" applyProtection="1"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164" fontId="11" fillId="0" borderId="0" xfId="0" applyNumberFormat="1" applyFont="1"/>
    <xf numFmtId="0" fontId="7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80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8333493381336887E-2"/>
          <c:y val="6.4676774032119758E-2"/>
          <c:w val="0.85833473036251684"/>
          <c:h val="0.75373317429739561"/>
        </c:manualLayout>
      </c:layout>
      <c:scatterChart>
        <c:scatterStyle val="lineMarker"/>
        <c:varyColors val="0"/>
        <c:ser>
          <c:idx val="0"/>
          <c:order val="0"/>
          <c:tx>
            <c:v>Option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'one-way table'!$H$15:$H$45</c:f>
              <c:numCache>
                <c:formatCode>0.00</c:formatCode>
                <c:ptCount val="31"/>
                <c:pt idx="0">
                  <c:v>0.384263932240966</c:v>
                </c:pt>
                <c:pt idx="1">
                  <c:v>0.48291935370395755</c:v>
                </c:pt>
                <c:pt idx="2">
                  <c:v>0.6005510219483412</c:v>
                </c:pt>
                <c:pt idx="3">
                  <c:v>0.7393475925043056</c:v>
                </c:pt>
                <c:pt idx="4">
                  <c:v>0.90148233983796544</c:v>
                </c:pt>
                <c:pt idx="5">
                  <c:v>1.0890691664202912</c:v>
                </c:pt>
                <c:pt idx="6">
                  <c:v>1.3041184769460976</c:v>
                </c:pt>
                <c:pt idx="7">
                  <c:v>1.54849460654642</c:v>
                </c:pt>
                <c:pt idx="8">
                  <c:v>1.823876415380056</c:v>
                </c:pt>
                <c:pt idx="9">
                  <c:v>2.1317224973210998</c:v>
                </c:pt>
                <c:pt idx="10">
                  <c:v>2.4732422119462179</c:v>
                </c:pt>
                <c:pt idx="11">
                  <c:v>2.8493734554700225</c:v>
                </c:pt>
                <c:pt idx="12">
                  <c:v>3.2607677590464448</c:v>
                </c:pt>
                <c:pt idx="13">
                  <c:v>3.7077829639725834</c:v>
                </c:pt>
                <c:pt idx="14">
                  <c:v>4.1904833937223103</c:v>
                </c:pt>
                <c:pt idx="15">
                  <c:v>4.7086471407540245</c:v>
                </c:pt>
                <c:pt idx="16">
                  <c:v>5.2617798263961006</c:v>
                </c:pt>
                <c:pt idx="17">
                  <c:v>5.8491339852371169</c:v>
                </c:pt>
                <c:pt idx="18">
                  <c:v>6.4697330772643511</c:v>
                </c:pt>
                <c:pt idx="19">
                  <c:v>7.122399043090951</c:v>
                </c:pt>
                <c:pt idx="20">
                  <c:v>7.8057822877199925</c:v>
                </c:pt>
                <c:pt idx="21">
                  <c:v>8.5183930009781506</c:v>
                </c:pt>
                <c:pt idx="22">
                  <c:v>9.2586327902354952</c:v>
                </c:pt>
                <c:pt idx="23">
                  <c:v>10.02482570405175</c:v>
                </c:pt>
                <c:pt idx="24">
                  <c:v>10.815247854034098</c:v>
                </c:pt>
                <c:pt idx="25">
                  <c:v>11.6281549866125</c:v>
                </c:pt>
                <c:pt idx="26">
                  <c:v>12.461807507456214</c:v>
                </c:pt>
                <c:pt idx="27">
                  <c:v>13.314492610809765</c:v>
                </c:pt>
                <c:pt idx="28">
                  <c:v>14.184543307456224</c:v>
                </c:pt>
                <c:pt idx="29">
                  <c:v>15.070354273210299</c:v>
                </c:pt>
                <c:pt idx="30">
                  <c:v>15.97039455124856</c:v>
                </c:pt>
              </c:numCache>
            </c:numRef>
          </c:yVal>
          <c:smooth val="0"/>
        </c:ser>
        <c:ser>
          <c:idx val="1"/>
          <c:order val="1"/>
          <c:tx>
            <c:v>delta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'one-way table'!$I$15:$I$45</c:f>
              <c:numCache>
                <c:formatCode>0.00</c:formatCode>
                <c:ptCount val="31"/>
                <c:pt idx="0">
                  <c:v>8.9892159593655763E-2</c:v>
                </c:pt>
                <c:pt idx="1">
                  <c:v>0.10777964198410886</c:v>
                </c:pt>
                <c:pt idx="2">
                  <c:v>0.12784917727785045</c:v>
                </c:pt>
                <c:pt idx="3">
                  <c:v>0.15010691343985078</c:v>
                </c:pt>
                <c:pt idx="4">
                  <c:v>0.17451563779554607</c:v>
                </c:pt>
                <c:pt idx="5">
                  <c:v>0.20099379622250069</c:v>
                </c:pt>
                <c:pt idx="6">
                  <c:v>0.22941620758433162</c:v>
                </c:pt>
                <c:pt idx="7">
                  <c:v>0.25961644439907111</c:v>
                </c:pt>
                <c:pt idx="8">
                  <c:v>0.29139075724094099</c:v>
                </c:pt>
                <c:pt idx="9">
                  <c:v>0.32450333846052898</c:v>
                </c:pt>
                <c:pt idx="10">
                  <c:v>0.35869265577739062</c:v>
                </c:pt>
                <c:pt idx="11">
                  <c:v>0.39367854167393224</c:v>
                </c:pt>
                <c:pt idx="12">
                  <c:v>0.42916970190108489</c:v>
                </c:pt>
                <c:pt idx="13">
                  <c:v>0.46487130553427547</c:v>
                </c:pt>
                <c:pt idx="14">
                  <c:v>0.50049233799945403</c:v>
                </c:pt>
                <c:pt idx="15">
                  <c:v>0.53575243414808993</c:v>
                </c:pt>
                <c:pt idx="16">
                  <c:v>0.57038795675942389</c:v>
                </c:pt>
                <c:pt idx="17">
                  <c:v>0.60415714232532203</c:v>
                </c:pt>
                <c:pt idx="18">
                  <c:v>0.63684419615103927</c:v>
                </c:pt>
                <c:pt idx="19">
                  <c:v>0.66826227854228515</c:v>
                </c:pt>
                <c:pt idx="20">
                  <c:v>0.69825537960436912</c:v>
                </c:pt>
                <c:pt idx="21">
                  <c:v>0.72669912918588153</c:v>
                </c:pt>
                <c:pt idx="22">
                  <c:v>0.75350062884503632</c:v>
                </c:pt>
                <c:pt idx="23">
                  <c:v>0.77859742334243442</c:v>
                </c:pt>
                <c:pt idx="24">
                  <c:v>0.80195574979575002</c:v>
                </c:pt>
                <c:pt idx="25">
                  <c:v>0.82356821366452859</c:v>
                </c:pt>
                <c:pt idx="26">
                  <c:v>0.84345104308510122</c:v>
                </c:pt>
                <c:pt idx="27">
                  <c:v>0.86164106803117602</c:v>
                </c:pt>
                <c:pt idx="28">
                  <c:v>0.87819255983286626</c:v>
                </c:pt>
                <c:pt idx="29">
                  <c:v>0.89317405131870886</c:v>
                </c:pt>
                <c:pt idx="30">
                  <c:v>0.90666523978396629</c:v>
                </c:pt>
              </c:numCache>
            </c:numRef>
          </c:yVal>
          <c:smooth val="0"/>
        </c:ser>
        <c:ser>
          <c:idx val="2"/>
          <c:order val="2"/>
          <c:tx>
            <c:v>gamma</c:v>
          </c:tx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'one-way table'!$J$15:$J$45</c:f>
              <c:numCache>
                <c:formatCode>General</c:formatCode>
                <c:ptCount val="31"/>
                <c:pt idx="0">
                  <c:v>1.6809944005491406E-2</c:v>
                </c:pt>
                <c:pt idx="1">
                  <c:v>1.8975068013571406E-2</c:v>
                </c:pt>
                <c:pt idx="2">
                  <c:v>2.1167259728255283E-2</c:v>
                </c:pt>
                <c:pt idx="3">
                  <c:v>2.3344200251573799E-2</c:v>
                </c:pt>
                <c:pt idx="4">
                  <c:v>2.5461757996197987E-2</c:v>
                </c:pt>
                <c:pt idx="5">
                  <c:v>2.7475665717313635E-2</c:v>
                </c:pt>
                <c:pt idx="6">
                  <c:v>2.9343217466448746E-2</c:v>
                </c:pt>
                <c:pt idx="7">
                  <c:v>3.1024888334174605E-2</c:v>
                </c:pt>
                <c:pt idx="8">
                  <c:v>3.2485788269087656E-2</c:v>
                </c:pt>
                <c:pt idx="9">
                  <c:v>3.369687575954794E-2</c:v>
                </c:pt>
                <c:pt idx="10">
                  <c:v>3.4635876136723809E-2</c:v>
                </c:pt>
                <c:pt idx="11">
                  <c:v>3.5287870783662356E-2</c:v>
                </c:pt>
                <c:pt idx="12">
                  <c:v>3.5645545699236614E-2</c:v>
                </c:pt>
                <c:pt idx="13">
                  <c:v>3.5709108921366806E-2</c:v>
                </c:pt>
                <c:pt idx="14">
                  <c:v>3.5485904753329578E-2</c:v>
                </c:pt>
                <c:pt idx="15">
                  <c:v>3.4989767501492075E-2</c:v>
                </c:pt>
                <c:pt idx="16">
                  <c:v>3.4240167873456073E-2</c:v>
                </c:pt>
                <c:pt idx="17">
                  <c:v>3.3261211096147214E-2</c:v>
                </c:pt>
                <c:pt idx="18">
                  <c:v>3.2080547357260514E-2</c:v>
                </c:pt>
                <c:pt idx="19">
                  <c:v>3.0728252845668713E-2</c:v>
                </c:pt>
                <c:pt idx="20">
                  <c:v>2.9235734157029292E-2</c:v>
                </c:pt>
                <c:pt idx="21">
                  <c:v>2.763470098698928E-2</c:v>
                </c:pt>
                <c:pt idx="22">
                  <c:v>2.5956242694968878E-2</c:v>
                </c:pt>
                <c:pt idx="23">
                  <c:v>2.4230034352812346E-2</c:v>
                </c:pt>
                <c:pt idx="24">
                  <c:v>2.2483687988184009E-2</c:v>
                </c:pt>
                <c:pt idx="25">
                  <c:v>2.0742255522510078E-2</c:v>
                </c:pt>
                <c:pt idx="26">
                  <c:v>1.902788181640247E-2</c:v>
                </c:pt>
                <c:pt idx="27">
                  <c:v>1.735959956716826E-2</c:v>
                </c:pt>
                <c:pt idx="28">
                  <c:v>1.5753252686545594E-2</c:v>
                </c:pt>
                <c:pt idx="29">
                  <c:v>1.4221531244307251E-2</c:v>
                </c:pt>
                <c:pt idx="30">
                  <c:v>1.2774099009238427E-2</c:v>
                </c:pt>
              </c:numCache>
            </c:numRef>
          </c:yVal>
          <c:smooth val="0"/>
        </c:ser>
        <c:ser>
          <c:idx val="3"/>
          <c:order val="3"/>
          <c:tx>
            <c:v>vega</c:v>
          </c:tx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'one-way table'!$K$15:$K$45</c:f>
              <c:numCache>
                <c:formatCode>General</c:formatCode>
                <c:ptCount val="31"/>
                <c:pt idx="0">
                  <c:v>3.8195901863602444E-2</c:v>
                </c:pt>
                <c:pt idx="1">
                  <c:v>4.4136320553178621E-2</c:v>
                </c:pt>
                <c:pt idx="2">
                  <c:v>5.0387424782805112E-2</c:v>
                </c:pt>
                <c:pt idx="3">
                  <c:v>5.6854705065845224E-2</c:v>
                </c:pt>
                <c:pt idx="4">
                  <c:v>6.3429812490412019E-2</c:v>
                </c:pt>
                <c:pt idx="5">
                  <c:v>6.9994054248923021E-2</c:v>
                </c:pt>
                <c:pt idx="6">
                  <c:v>7.6422496903916226E-2</c:v>
                </c:pt>
                <c:pt idx="7">
                  <c:v>8.2588449030041033E-2</c:v>
                </c:pt>
                <c:pt idx="8">
                  <c:v>8.8368072839628553E-2</c:v>
                </c:pt>
                <c:pt idx="9">
                  <c:v>9.3644871692433185E-2</c:v>
                </c:pt>
                <c:pt idx="10">
                  <c:v>9.8313815882633548E-2</c:v>
                </c:pt>
                <c:pt idx="11">
                  <c:v>0.10228490081161112</c:v>
                </c:pt>
                <c:pt idx="12">
                  <c:v>0.10548597561808037</c:v>
                </c:pt>
                <c:pt idx="13">
                  <c:v>0.10786473247890171</c:v>
                </c:pt>
                <c:pt idx="14">
                  <c:v>0.10938980232566564</c:v>
                </c:pt>
                <c:pt idx="15">
                  <c:v>0.11005095737743886</c:v>
                </c:pt>
                <c:pt idx="16">
                  <c:v>0.10985847057938258</c:v>
                </c:pt>
                <c:pt idx="17">
                  <c:v>0.10884172398988312</c:v>
                </c:pt>
                <c:pt idx="18">
                  <c:v>0.10704719012579744</c:v>
                </c:pt>
                <c:pt idx="19">
                  <c:v>0.10453593130321792</c:v>
                </c:pt>
                <c:pt idx="20">
                  <c:v>0.10138077201702345</c:v>
                </c:pt>
                <c:pt idx="21">
                  <c:v>9.766329917084704E-2</c:v>
                </c:pt>
                <c:pt idx="22">
                  <c:v>9.347083591393357E-2</c:v>
                </c:pt>
                <c:pt idx="23">
                  <c:v>8.8893518567090268E-2</c:v>
                </c:pt>
                <c:pt idx="24">
                  <c:v>8.4021585108473573E-2</c:v>
                </c:pt>
                <c:pt idx="25">
                  <c:v>7.8942959430605697E-2</c:v>
                </c:pt>
                <c:pt idx="26">
                  <c:v>7.3741190507803367E-2</c:v>
                </c:pt>
                <c:pt idx="27">
                  <c:v>6.8493781043343915E-2</c:v>
                </c:pt>
                <c:pt idx="28">
                  <c:v>6.3270917571855989E-2</c:v>
                </c:pt>
                <c:pt idx="29">
                  <c:v>5.8134594439707143E-2</c:v>
                </c:pt>
                <c:pt idx="30">
                  <c:v>5.3138107948313973E-2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609064"/>
        <c:axId val="535601192"/>
      </c:scatterChart>
      <c:valAx>
        <c:axId val="535609064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5601192"/>
        <c:crosses val="autoZero"/>
        <c:crossBetween val="midCat"/>
        <c:majorUnit val="5"/>
      </c:valAx>
      <c:valAx>
        <c:axId val="535601192"/>
        <c:scaling>
          <c:orientation val="minMax"/>
          <c:max val="3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560906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9833403324584427"/>
          <c:y val="0.92288792259176555"/>
          <c:w val="0.51644199475065622"/>
          <c:h val="5.365560648202557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Call Option Time Decay</a:t>
            </a:r>
          </a:p>
        </c:rich>
      </c:tx>
      <c:layout>
        <c:manualLayout>
          <c:xMode val="edge"/>
          <c:yMode val="edge"/>
          <c:x val="0.35379672496333942"/>
          <c:y val="3.23383870160598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08734325094598"/>
          <c:y val="0.17661734447232702"/>
          <c:w val="0.82391018142147543"/>
          <c:h val="0.58209096628907775"/>
        </c:manualLayout>
      </c:layout>
      <c:scatterChart>
        <c:scatterStyle val="lineMarker"/>
        <c:varyColors val="0"/>
        <c:ser>
          <c:idx val="0"/>
          <c:order val="0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'2-way'!$H$15:$H$45</c:f>
              <c:numCache>
                <c:formatCode>0.00</c:formatCode>
                <c:ptCount val="31"/>
                <c:pt idx="0">
                  <c:v>0.37414234613200659</c:v>
                </c:pt>
                <c:pt idx="1">
                  <c:v>0.47126605827249435</c:v>
                </c:pt>
                <c:pt idx="2">
                  <c:v>0.5873014869220583</c:v>
                </c:pt>
                <c:pt idx="3">
                  <c:v>0.72446565315057398</c:v>
                </c:pt>
                <c:pt idx="4">
                  <c:v>0.88496381262480917</c:v>
                </c:pt>
                <c:pt idx="5">
                  <c:v>1.0709443996702923</c:v>
                </c:pt>
                <c:pt idx="6">
                  <c:v>1.2844536731170884</c:v>
                </c:pt>
                <c:pt idx="7">
                  <c:v>1.5273918216635956</c:v>
                </c:pt>
                <c:pt idx="8">
                  <c:v>1.8014722156505663</c:v>
                </c:pt>
                <c:pt idx="9">
                  <c:v>2.1081853273596707</c:v>
                </c:pt>
                <c:pt idx="10">
                  <c:v>2.4487685979059073</c:v>
                </c:pt>
                <c:pt idx="11">
                  <c:v>2.8241832250519892</c:v>
                </c:pt>
                <c:pt idx="12">
                  <c:v>3.2350985053231724</c:v>
                </c:pt>
                <c:pt idx="13">
                  <c:v>3.6818840089966045</c:v>
                </c:pt>
                <c:pt idx="14">
                  <c:v>4.1646095201984323</c:v>
                </c:pt>
                <c:pt idx="15">
                  <c:v>4.6830523561386812</c:v>
                </c:pt>
                <c:pt idx="16">
                  <c:v>5.2367114053001558</c:v>
                </c:pt>
                <c:pt idx="17">
                  <c:v>5.8248270054733879</c:v>
                </c:pt>
                <c:pt idx="18">
                  <c:v>6.4464056253931545</c:v>
                </c:pt>
                <c:pt idx="19">
                  <c:v>7.1002482202318546</c:v>
                </c:pt>
                <c:pt idx="20">
                  <c:v>7.7849810990433497</c:v>
                </c:pt>
                <c:pt idx="21">
                  <c:v>8.49908816571984</c:v>
                </c:pt>
                <c:pt idx="22">
                  <c:v>9.2409434658908651</c:v>
                </c:pt>
                <c:pt idx="23">
                  <c:v>10.008843080620622</c:v>
                </c:pt>
                <c:pt idx="24">
                  <c:v>10.801035543198324</c:v>
                </c:pt>
                <c:pt idx="25">
                  <c:v>11.615750107293991</c:v>
                </c:pt>
                <c:pt idx="26">
                  <c:v>12.451222353509763</c:v>
                </c:pt>
                <c:pt idx="27">
                  <c:v>13.305716778343211</c:v>
                </c:pt>
                <c:pt idx="28">
                  <c:v>14.177546157741119</c:v>
                </c:pt>
                <c:pt idx="29">
                  <c:v>15.065087611375674</c:v>
                </c:pt>
                <c:pt idx="30">
                  <c:v>15.966795409801051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'2-way'!$I$15:$I$45</c:f>
              <c:numCache>
                <c:formatCode>0.00</c:formatCode>
                <c:ptCount val="31"/>
                <c:pt idx="0">
                  <c:v>0.1548047664318335</c:v>
                </c:pt>
                <c:pt idx="1">
                  <c:v>0.20996908025351946</c:v>
                </c:pt>
                <c:pt idx="2">
                  <c:v>0.2803942955700176</c:v>
                </c:pt>
                <c:pt idx="3">
                  <c:v>0.36890750964347774</c:v>
                </c:pt>
                <c:pt idx="4">
                  <c:v>0.47850088156311266</c:v>
                </c:pt>
                <c:pt idx="5">
                  <c:v>0.61226373437321691</c:v>
                </c:pt>
                <c:pt idx="6">
                  <c:v>0.77330370990438269</c:v>
                </c:pt>
                <c:pt idx="7">
                  <c:v>0.96466068393166182</c:v>
                </c:pt>
                <c:pt idx="8">
                  <c:v>1.189217829489305</c:v>
                </c:pt>
                <c:pt idx="9">
                  <c:v>1.4496145498778041</c:v>
                </c:pt>
                <c:pt idx="10">
                  <c:v>1.7481659590186354</c:v>
                </c:pt>
                <c:pt idx="11">
                  <c:v>2.0867931750216044</c:v>
                </c:pt>
                <c:pt idx="12">
                  <c:v>2.4669679605696899</c:v>
                </c:pt>
                <c:pt idx="13">
                  <c:v>2.8896742685771954</c:v>
                </c:pt>
                <c:pt idx="14">
                  <c:v>3.3553881304553741</c:v>
                </c:pt>
                <c:pt idx="15">
                  <c:v>3.864076161279975</c:v>
                </c:pt>
                <c:pt idx="16">
                  <c:v>4.4152118505574052</c:v>
                </c:pt>
                <c:pt idx="17">
                  <c:v>5.0078078438279832</c:v>
                </c:pt>
                <c:pt idx="18">
                  <c:v>5.6404616619768717</c:v>
                </c:pt>
                <c:pt idx="19">
                  <c:v>6.3114117893425998</c:v>
                </c:pt>
                <c:pt idx="20">
                  <c:v>7.0186008001777509</c:v>
                </c:pt>
                <c:pt idx="21">
                  <c:v>7.7597421740212269</c:v>
                </c:pt>
                <c:pt idx="22">
                  <c:v>8.5323876435865884</c:v>
                </c:pt>
                <c:pt idx="23">
                  <c:v>9.3339922803422155</c:v>
                </c:pt>
                <c:pt idx="24">
                  <c:v>10.161975002644752</c:v>
                </c:pt>
                <c:pt idx="25">
                  <c:v>11.013772737499195</c:v>
                </c:pt>
                <c:pt idx="26">
                  <c:v>11.886887031750177</c:v>
                </c:pt>
                <c:pt idx="27">
                  <c:v>12.778922450847958</c:v>
                </c:pt>
                <c:pt idx="28">
                  <c:v>13.687616591577353</c:v>
                </c:pt>
                <c:pt idx="29">
                  <c:v>14.610861947637346</c:v>
                </c:pt>
                <c:pt idx="30">
                  <c:v>15.546720191831298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'2-way'!$J$15:$J$45</c:f>
              <c:numCache>
                <c:formatCode>0.00</c:formatCode>
                <c:ptCount val="31"/>
                <c:pt idx="0">
                  <c:v>1.4943545751380349E-2</c:v>
                </c:pt>
                <c:pt idx="1">
                  <c:v>2.5391442916164131E-2</c:v>
                </c:pt>
                <c:pt idx="2">
                  <c:v>4.17914343644612E-2</c:v>
                </c:pt>
                <c:pt idx="3">
                  <c:v>6.6719964822427702E-2</c:v>
                </c:pt>
                <c:pt idx="4">
                  <c:v>0.10346199635086162</c:v>
                </c:pt>
                <c:pt idx="5">
                  <c:v>0.15604033269248418</c:v>
                </c:pt>
                <c:pt idx="6">
                  <c:v>0.22918485400495037</c:v>
                </c:pt>
                <c:pt idx="7">
                  <c:v>0.32823021966264321</c:v>
                </c:pt>
                <c:pt idx="8">
                  <c:v>0.4589386631491621</c:v>
                </c:pt>
                <c:pt idx="9">
                  <c:v>0.62725456357858178</c:v>
                </c:pt>
                <c:pt idx="10">
                  <c:v>0.83900785127046973</c:v>
                </c:pt>
                <c:pt idx="11">
                  <c:v>1.0995920620312596</c:v>
                </c:pt>
                <c:pt idx="12">
                  <c:v>1.4136482630489233</c:v>
                </c:pt>
                <c:pt idx="13">
                  <c:v>1.784787003725512</c:v>
                </c:pt>
                <c:pt idx="14">
                  <c:v>2.2153766374508166</c:v>
                </c:pt>
                <c:pt idx="15">
                  <c:v>2.7064184741074868</c:v>
                </c:pt>
                <c:pt idx="16">
                  <c:v>3.2575186655029853</c:v>
                </c:pt>
                <c:pt idx="17">
                  <c:v>3.8669553198343039</c:v>
                </c:pt>
                <c:pt idx="18">
                  <c:v>4.5318289248222072</c:v>
                </c:pt>
                <c:pt idx="19">
                  <c:v>5.2482762224971111</c:v>
                </c:pt>
                <c:pt idx="20">
                  <c:v>6.0117231191719043</c:v>
                </c:pt>
                <c:pt idx="21">
                  <c:v>6.8171512495031124</c:v>
                </c:pt>
                <c:pt idx="22">
                  <c:v>7.6593550467281091</c:v>
                </c:pt>
                <c:pt idx="23">
                  <c:v>8.533170766689409</c:v>
                </c:pt>
                <c:pt idx="24">
                  <c:v>9.4336648249207258</c:v>
                </c:pt>
                <c:pt idx="25">
                  <c:v>10.356274997868852</c:v>
                </c:pt>
                <c:pt idx="26">
                  <c:v>11.296903655752715</c:v>
                </c:pt>
                <c:pt idx="27">
                  <c:v>12.251966658191364</c:v>
                </c:pt>
                <c:pt idx="28">
                  <c:v>13.218404579213015</c:v>
                </c:pt>
                <c:pt idx="29">
                  <c:v>14.193664527526238</c:v>
                </c:pt>
                <c:pt idx="30">
                  <c:v>15.175661179409957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'2-way'!$K$15:$K$45</c:f>
              <c:numCache>
                <c:formatCode>0.00</c:formatCode>
                <c:ptCount val="31"/>
                <c:pt idx="0">
                  <c:v>1.0577274149931752E-15</c:v>
                </c:pt>
                <c:pt idx="1">
                  <c:v>7.9914621839077574E-14</c:v>
                </c:pt>
                <c:pt idx="2">
                  <c:v>4.2696429965776526E-12</c:v>
                </c:pt>
                <c:pt idx="3">
                  <c:v>1.6338178758016648E-10</c:v>
                </c:pt>
                <c:pt idx="4">
                  <c:v>4.5340768169207842E-9</c:v>
                </c:pt>
                <c:pt idx="5">
                  <c:v>9.2384950198225185E-8</c:v>
                </c:pt>
                <c:pt idx="6">
                  <c:v>1.3991500659959436E-6</c:v>
                </c:pt>
                <c:pt idx="7">
                  <c:v>1.5944929666062823E-5</c:v>
                </c:pt>
                <c:pt idx="8">
                  <c:v>1.384539328011386E-4</c:v>
                </c:pt>
                <c:pt idx="9">
                  <c:v>9.2790955821656085E-4</c:v>
                </c:pt>
                <c:pt idx="10">
                  <c:v>4.8649692020314994E-3</c:v>
                </c:pt>
                <c:pt idx="11">
                  <c:v>2.0242724252347966E-2</c:v>
                </c:pt>
                <c:pt idx="12">
                  <c:v>6.7894884600847583E-2</c:v>
                </c:pt>
                <c:pt idx="13">
                  <c:v>0.18673367357348525</c:v>
                </c:pt>
                <c:pt idx="14">
                  <c:v>0.42920551112169747</c:v>
                </c:pt>
                <c:pt idx="15">
                  <c:v>0.84189281535135052</c:v>
                </c:pt>
                <c:pt idx="16">
                  <c:v>1.4415640692433129</c:v>
                </c:pt>
                <c:pt idx="17">
                  <c:v>2.206147388377957</c:v>
                </c:pt>
                <c:pt idx="18">
                  <c:v>3.0882050571657942</c:v>
                </c:pt>
                <c:pt idx="19">
                  <c:v>4.0382427734419508</c:v>
                </c:pt>
                <c:pt idx="20">
                  <c:v>5.0204160226381873</c:v>
                </c:pt>
                <c:pt idx="21">
                  <c:v>6.0150657443485613</c:v>
                </c:pt>
                <c:pt idx="22">
                  <c:v>7.0137145575554598</c:v>
                </c:pt>
                <c:pt idx="23">
                  <c:v>8.0134269850996844</c:v>
                </c:pt>
                <c:pt idx="24">
                  <c:v>9.0133752886577838</c:v>
                </c:pt>
                <c:pt idx="25">
                  <c:v>10.013367417077376</c:v>
                </c:pt>
                <c:pt idx="26">
                  <c:v>11.013366398722951</c:v>
                </c:pt>
                <c:pt idx="27">
                  <c:v>12.013366286415504</c:v>
                </c:pt>
                <c:pt idx="28">
                  <c:v>13.013366275821014</c:v>
                </c:pt>
                <c:pt idx="29">
                  <c:v>14.013366274963104</c:v>
                </c:pt>
                <c:pt idx="30">
                  <c:v>15.013366274903277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'2-way'!$L$14</c:f>
              <c:strCache>
                <c:ptCount val="1"/>
                <c:pt idx="0">
                  <c:v>Intrinsic value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'2-way'!$L$15:$L$45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5</c:v>
                </c:pt>
                <c:pt idx="21">
                  <c:v>6</c:v>
                </c:pt>
                <c:pt idx="22">
                  <c:v>7</c:v>
                </c:pt>
                <c:pt idx="23">
                  <c:v>8</c:v>
                </c:pt>
                <c:pt idx="24">
                  <c:v>9</c:v>
                </c:pt>
                <c:pt idx="25">
                  <c:v>10</c:v>
                </c:pt>
                <c:pt idx="26">
                  <c:v>11</c:v>
                </c:pt>
                <c:pt idx="27">
                  <c:v>12</c:v>
                </c:pt>
                <c:pt idx="28">
                  <c:v>13</c:v>
                </c:pt>
                <c:pt idx="29">
                  <c:v>14</c:v>
                </c:pt>
                <c:pt idx="30">
                  <c:v>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0363056"/>
        <c:axId val="530363448"/>
      </c:scatterChart>
      <c:valAx>
        <c:axId val="530363056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Stock price</a:t>
                </a:r>
              </a:p>
            </c:rich>
          </c:tx>
          <c:layout>
            <c:manualLayout>
              <c:xMode val="edge"/>
              <c:yMode val="edge"/>
              <c:x val="0.48626855805463548"/>
              <c:y val="0.8358229259535475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0363448"/>
        <c:crosses val="autoZero"/>
        <c:crossBetween val="midCat"/>
        <c:majorUnit val="5"/>
      </c:valAx>
      <c:valAx>
        <c:axId val="5303634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Option value</a:t>
                </a:r>
              </a:p>
            </c:rich>
          </c:tx>
          <c:layout>
            <c:manualLayout>
              <c:xMode val="edge"/>
              <c:yMode val="edge"/>
              <c:x val="2.5848162554399229E-2"/>
              <c:y val="0.36318496187267246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036305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4378040420884572"/>
          <c:y val="0.92288781407370879"/>
          <c:w val="0.80290854934602607"/>
          <c:h val="5.9701637568110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3423171152734275"/>
          <c:y val="3.097345132743362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312213153889191"/>
          <c:y val="0.15265486725663716"/>
          <c:w val="0.82250459843672497"/>
          <c:h val="0.72566371681415931"/>
        </c:manualLayout>
      </c:layout>
      <c:scatterChart>
        <c:scatterStyle val="lineMarker"/>
        <c:varyColors val="0"/>
        <c:ser>
          <c:idx val="0"/>
          <c:order val="0"/>
          <c:tx>
            <c:v>Position P&amp;L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portfolio'!$H$25:$H$55</c:f>
              <c:numCache>
                <c:formatCode>0.00</c:formatCode>
                <c:ptCount val="31"/>
                <c:pt idx="0">
                  <c:v>-61.72294231242654</c:v>
                </c:pt>
                <c:pt idx="1">
                  <c:v>-52.009108335564861</c:v>
                </c:pt>
                <c:pt idx="2">
                  <c:v>-43.121163867877158</c:v>
                </c:pt>
                <c:pt idx="3">
                  <c:v>-35.102053958406486</c:v>
                </c:pt>
                <c:pt idx="4">
                  <c:v>-27.980991537068348</c:v>
                </c:pt>
                <c:pt idx="5">
                  <c:v>-21.771333839721592</c:v>
                </c:pt>
                <c:pt idx="6">
                  <c:v>-16.468945028502503</c:v>
                </c:pt>
                <c:pt idx="7">
                  <c:v>-12.051142727083516</c:v>
                </c:pt>
                <c:pt idx="8">
                  <c:v>-8.4762948125594448</c:v>
                </c:pt>
                <c:pt idx="9">
                  <c:v>-5.68409729257246</c:v>
                </c:pt>
                <c:pt idx="10">
                  <c:v>-3.5965271474458405</c:v>
                </c:pt>
                <c:pt idx="11">
                  <c:v>-2.1194283221732348</c:v>
                </c:pt>
                <c:pt idx="12">
                  <c:v>-1.1446570549476291</c:v>
                </c:pt>
                <c:pt idx="13">
                  <c:v>-0.5526864295040923</c:v>
                </c:pt>
                <c:pt idx="14">
                  <c:v>-0.21555086559214942</c:v>
                </c:pt>
                <c:pt idx="15">
                  <c:v>0</c:v>
                </c:pt>
                <c:pt idx="16">
                  <c:v>0.22927180049828166</c:v>
                </c:pt>
                <c:pt idx="17">
                  <c:v>0.60644966388667854</c:v>
                </c:pt>
                <c:pt idx="18">
                  <c:v>1.2615944965777999</c:v>
                </c:pt>
                <c:pt idx="19">
                  <c:v>2.3179132421669237</c:v>
                </c:pt>
                <c:pt idx="20">
                  <c:v>3.8893847904896575</c:v>
                </c:pt>
                <c:pt idx="21">
                  <c:v>6.0788007345727237</c:v>
                </c:pt>
                <c:pt idx="22">
                  <c:v>8.9762570082921229</c:v>
                </c:pt>
                <c:pt idx="23">
                  <c:v>12.658109981391135</c:v>
                </c:pt>
                <c:pt idx="24">
                  <c:v>17.186390006725105</c:v>
                </c:pt>
                <c:pt idx="25">
                  <c:v>22.608647595132425</c:v>
                </c:pt>
                <c:pt idx="26">
                  <c:v>28.958192929703728</c:v>
                </c:pt>
                <c:pt idx="27">
                  <c:v>36.254678627072508</c:v>
                </c:pt>
                <c:pt idx="28">
                  <c:v>44.504968551507545</c:v>
                </c:pt>
                <c:pt idx="29">
                  <c:v>53.70423190811357</c:v>
                </c:pt>
                <c:pt idx="30">
                  <c:v>63.837201433311748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0364232"/>
        <c:axId val="576266304"/>
      </c:scatterChart>
      <c:valAx>
        <c:axId val="530364232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6266304"/>
        <c:crosses val="autoZero"/>
        <c:crossBetween val="midCat"/>
        <c:majorUnit val="5"/>
      </c:valAx>
      <c:valAx>
        <c:axId val="5762663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036423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5166402535657685"/>
          <c:y val="0.92920353982300885"/>
          <c:w val="0.18858954041204437"/>
          <c:h val="5.530973451327433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Option Position P&amp;L</a:t>
            </a:r>
          </a:p>
        </c:rich>
      </c:tx>
      <c:layout>
        <c:manualLayout>
          <c:xMode val="edge"/>
          <c:yMode val="edge"/>
          <c:x val="0.37156733671948888"/>
          <c:y val="3.03030943568519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08734325094598"/>
          <c:y val="0.15800899200358495"/>
          <c:w val="0.82391018142147543"/>
          <c:h val="0.67532610280984262"/>
        </c:manualLayout>
      </c:layout>
      <c:scatterChart>
        <c:scatterStyle val="lineMarker"/>
        <c:varyColors val="0"/>
        <c:ser>
          <c:idx val="3"/>
          <c:order val="0"/>
          <c:tx>
            <c:strRef>
              <c:f>'Option portfolio'!$L$24</c:f>
              <c:strCache>
                <c:ptCount val="1"/>
                <c:pt idx="0">
                  <c:v>Covered call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portfolio'!$L$25:$L$55</c:f>
              <c:numCache>
                <c:formatCode>0.00</c:formatCode>
                <c:ptCount val="31"/>
                <c:pt idx="0">
                  <c:v>-1069.1089989993325</c:v>
                </c:pt>
                <c:pt idx="1">
                  <c:v>-978.82137021337985</c:v>
                </c:pt>
                <c:pt idx="2">
                  <c:v>-890.42491307833734</c:v>
                </c:pt>
                <c:pt idx="3">
                  <c:v>-804.14132970118953</c:v>
                </c:pt>
                <c:pt idx="4">
                  <c:v>-720.19114564861229</c:v>
                </c:pt>
                <c:pt idx="5">
                  <c:v>-638.78920435316104</c:v>
                </c:pt>
                <c:pt idx="6">
                  <c:v>-560.14013169784084</c:v>
                </c:pt>
                <c:pt idx="7">
                  <c:v>-484.43394655248994</c:v>
                </c:pt>
                <c:pt idx="8">
                  <c:v>-411.84198595118869</c:v>
                </c:pt>
                <c:pt idx="9">
                  <c:v>-342.51329712209917</c:v>
                </c:pt>
                <c:pt idx="10">
                  <c:v>-276.57162417672225</c:v>
                </c:pt>
                <c:pt idx="11">
                  <c:v>-214.11308689132966</c:v>
                </c:pt>
                <c:pt idx="12">
                  <c:v>-155.20461491844799</c:v>
                </c:pt>
                <c:pt idx="13">
                  <c:v>-99.88316528579162</c:v>
                </c:pt>
                <c:pt idx="14">
                  <c:v>-48.15571640597409</c:v>
                </c:pt>
                <c:pt idx="15">
                  <c:v>0</c:v>
                </c:pt>
                <c:pt idx="16">
                  <c:v>44.634095083853026</c:v>
                </c:pt>
                <c:pt idx="17">
                  <c:v>85.822535066530691</c:v>
                </c:pt>
                <c:pt idx="18">
                  <c:v>123.66467307455241</c:v>
                </c:pt>
                <c:pt idx="19">
                  <c:v>158.28041359068266</c:v>
                </c:pt>
                <c:pt idx="20">
                  <c:v>189.80712570953438</c:v>
                </c:pt>
                <c:pt idx="21">
                  <c:v>218.39641904188466</c:v>
                </c:pt>
                <c:pt idx="22">
                  <c:v>244.21088902478186</c:v>
                </c:pt>
                <c:pt idx="23">
                  <c:v>267.42092755180602</c:v>
                </c:pt>
                <c:pt idx="24">
                  <c:v>288.20168129403646</c:v>
                </c:pt>
                <c:pt idx="25">
                  <c:v>306.73022488446986</c:v>
                </c:pt>
                <c:pt idx="26">
                  <c:v>323.18300026289216</c:v>
                </c:pt>
                <c:pt idx="27">
                  <c:v>337.73355777954748</c:v>
                </c:pt>
                <c:pt idx="28">
                  <c:v>350.55061983975611</c:v>
                </c:pt>
                <c:pt idx="29">
                  <c:v>361.79647447630123</c:v>
                </c:pt>
                <c:pt idx="30">
                  <c:v>371.62569463376349</c:v>
                </c:pt>
              </c:numCache>
            </c:numRef>
          </c:yVal>
          <c:smooth val="0"/>
        </c:ser>
        <c:ser>
          <c:idx val="4"/>
          <c:order val="1"/>
          <c:tx>
            <c:strRef>
              <c:f>'Option portfolio'!$M$24</c:f>
              <c:strCache>
                <c:ptCount val="1"/>
                <c:pt idx="0">
                  <c:v>Delta hedge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portfolio'!$M$25:$M$55</c:f>
              <c:numCache>
                <c:formatCode>0.00</c:formatCode>
                <c:ptCount val="31"/>
                <c:pt idx="0">
                  <c:v>-379.10899899933247</c:v>
                </c:pt>
                <c:pt idx="1">
                  <c:v>-334.82137021338167</c:v>
                </c:pt>
                <c:pt idx="2">
                  <c:v>-292.42491307833825</c:v>
                </c:pt>
                <c:pt idx="3">
                  <c:v>-252.14132970118953</c:v>
                </c:pt>
                <c:pt idx="4">
                  <c:v>-214.1911456486132</c:v>
                </c:pt>
                <c:pt idx="5">
                  <c:v>-178.78920435316104</c:v>
                </c:pt>
                <c:pt idx="6">
                  <c:v>-146.14013169784084</c:v>
                </c:pt>
                <c:pt idx="7">
                  <c:v>-116.43394655249176</c:v>
                </c:pt>
                <c:pt idx="8">
                  <c:v>-89.84198595118869</c:v>
                </c:pt>
                <c:pt idx="9">
                  <c:v>-66.513297122099175</c:v>
                </c:pt>
                <c:pt idx="10">
                  <c:v>-46.571624176723162</c:v>
                </c:pt>
                <c:pt idx="11">
                  <c:v>-30.113086891331477</c:v>
                </c:pt>
                <c:pt idx="12">
                  <c:v>-17.204614918449806</c:v>
                </c:pt>
                <c:pt idx="13">
                  <c:v>-7.8831652857925292</c:v>
                </c:pt>
                <c:pt idx="14">
                  <c:v>-2.1557164059749994</c:v>
                </c:pt>
                <c:pt idx="15">
                  <c:v>0</c:v>
                </c:pt>
                <c:pt idx="16">
                  <c:v>-1.3659049161478833</c:v>
                </c:pt>
                <c:pt idx="17">
                  <c:v>-6.1774649334711285</c:v>
                </c:pt>
                <c:pt idx="18">
                  <c:v>-14.335326925447589</c:v>
                </c:pt>
                <c:pt idx="19">
                  <c:v>-25.719586409317344</c:v>
                </c:pt>
                <c:pt idx="20">
                  <c:v>-40.192874290467444</c:v>
                </c:pt>
                <c:pt idx="21">
                  <c:v>-57.603580958116254</c:v>
                </c:pt>
                <c:pt idx="22">
                  <c:v>-77.789110975219046</c:v>
                </c:pt>
                <c:pt idx="23">
                  <c:v>-100.57907244819489</c:v>
                </c:pt>
                <c:pt idx="24">
                  <c:v>-125.79831870596445</c:v>
                </c:pt>
                <c:pt idx="25">
                  <c:v>-153.26977511553105</c:v>
                </c:pt>
                <c:pt idx="26">
                  <c:v>-182.81699973710874</c:v>
                </c:pt>
                <c:pt idx="27">
                  <c:v>-214.26644222045343</c:v>
                </c:pt>
                <c:pt idx="28">
                  <c:v>-247.44938016024389</c:v>
                </c:pt>
                <c:pt idx="29">
                  <c:v>-282.20352552369968</c:v>
                </c:pt>
                <c:pt idx="30">
                  <c:v>-318.37430536623742</c:v>
                </c:pt>
              </c:numCache>
            </c:numRef>
          </c:yVal>
          <c:smooth val="0"/>
        </c:ser>
        <c:ser>
          <c:idx val="5"/>
          <c:order val="2"/>
          <c:tx>
            <c:strRef>
              <c:f>'Option portfolio'!$N$24</c:f>
              <c:strCache>
                <c:ptCount val="1"/>
                <c:pt idx="0">
                  <c:v>Option v. option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portfolio'!$N$25:$N$55</c:f>
              <c:numCache>
                <c:formatCode>0.00</c:formatCode>
                <c:ptCount val="31"/>
                <c:pt idx="0">
                  <c:v>62.290663984519263</c:v>
                </c:pt>
                <c:pt idx="1">
                  <c:v>58.674764071158307</c:v>
                </c:pt>
                <c:pt idx="2">
                  <c:v>54.63496790965506</c:v>
                </c:pt>
                <c:pt idx="3">
                  <c:v>50.195785944530343</c:v>
                </c:pt>
                <c:pt idx="4">
                  <c:v>45.400198693703011</c:v>
                </c:pt>
                <c:pt idx="5">
                  <c:v>40.310881448368932</c:v>
                </c:pt>
                <c:pt idx="6">
                  <c:v>35.010748054266671</c:v>
                </c:pt>
                <c:pt idx="7">
                  <c:v>29.602745508919384</c:v>
                </c:pt>
                <c:pt idx="8">
                  <c:v>24.208871654847627</c:v>
                </c:pt>
                <c:pt idx="9">
                  <c:v>18.968430944984334</c:v>
                </c:pt>
                <c:pt idx="10">
                  <c:v>14.035584939073686</c:v>
                </c:pt>
                <c:pt idx="11">
                  <c:v>9.5762918926028817</c:v>
                </c:pt>
                <c:pt idx="12">
                  <c:v>5.7647610067508026</c:v>
                </c:pt>
                <c:pt idx="13">
                  <c:v>2.7795697426799393</c:v>
                </c:pt>
                <c:pt idx="14">
                  <c:v>0.79960594209956071</c:v>
                </c:pt>
                <c:pt idx="15">
                  <c:v>0</c:v>
                </c:pt>
                <c:pt idx="16">
                  <c:v>0.54820641055317765</c:v>
                </c:pt>
                <c:pt idx="17">
                  <c:v>2.6003797006252967</c:v>
                </c:pt>
                <c:pt idx="18">
                  <c:v>6.2981686180963834</c:v>
                </c:pt>
                <c:pt idx="19">
                  <c:v>11.766026318198556</c:v>
                </c:pt>
                <c:pt idx="20">
                  <c:v>19.109105198397856</c:v>
                </c:pt>
                <c:pt idx="21">
                  <c:v>28.411774958228875</c:v>
                </c:pt>
                <c:pt idx="22">
                  <c:v>39.736773228484822</c:v>
                </c:pt>
                <c:pt idx="23">
                  <c:v>53.124971275574012</c:v>
                </c:pt>
                <c:pt idx="24">
                  <c:v>68.595714049249068</c:v>
                </c:pt>
                <c:pt idx="25">
                  <c:v>86.147675033118389</c:v>
                </c:pt>
                <c:pt idx="26">
                  <c:v>105.76015242661367</c:v>
                </c:pt>
                <c:pt idx="27">
                  <c:v>127.39472422991219</c:v>
                </c:pt>
                <c:pt idx="28">
                  <c:v>150.99717561254567</c:v>
                </c:pt>
                <c:pt idx="29">
                  <c:v>176.49961207106173</c:v>
                </c:pt>
                <c:pt idx="30">
                  <c:v>203.82267569729231</c:v>
                </c:pt>
              </c:numCache>
            </c:numRef>
          </c:yVal>
          <c:smooth val="0"/>
        </c:ser>
        <c:ser>
          <c:idx val="6"/>
          <c:order val="3"/>
          <c:tx>
            <c:strRef>
              <c:f>'Option portfolio'!$O$24</c:f>
              <c:strCache>
                <c:ptCount val="1"/>
                <c:pt idx="0">
                  <c:v>Delta-gamma hedge</c:v>
                </c:pt>
              </c:strCache>
            </c:strRef>
          </c:tx>
          <c:spPr>
            <a:ln w="12700">
              <a:solidFill>
                <a:srgbClr val="008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portfolio'!$O$25:$O$55</c:f>
              <c:numCache>
                <c:formatCode>0.00</c:formatCode>
                <c:ptCount val="31"/>
                <c:pt idx="0">
                  <c:v>-61.72294231242654</c:v>
                </c:pt>
                <c:pt idx="1">
                  <c:v>-52.009108335564861</c:v>
                </c:pt>
                <c:pt idx="2">
                  <c:v>-43.121163867877158</c:v>
                </c:pt>
                <c:pt idx="3">
                  <c:v>-35.102053958406486</c:v>
                </c:pt>
                <c:pt idx="4">
                  <c:v>-27.980991537068348</c:v>
                </c:pt>
                <c:pt idx="5">
                  <c:v>-21.771333839721592</c:v>
                </c:pt>
                <c:pt idx="6">
                  <c:v>-16.468945028502503</c:v>
                </c:pt>
                <c:pt idx="7">
                  <c:v>-12.051142727083516</c:v>
                </c:pt>
                <c:pt idx="8">
                  <c:v>-8.4762948125594448</c:v>
                </c:pt>
                <c:pt idx="9">
                  <c:v>-5.68409729257246</c:v>
                </c:pt>
                <c:pt idx="10">
                  <c:v>-3.5965271474458405</c:v>
                </c:pt>
                <c:pt idx="11">
                  <c:v>-2.1194283221732348</c:v>
                </c:pt>
                <c:pt idx="12">
                  <c:v>-1.1446570549476291</c:v>
                </c:pt>
                <c:pt idx="13">
                  <c:v>-0.5526864295040923</c:v>
                </c:pt>
                <c:pt idx="14">
                  <c:v>-0.21555086559214942</c:v>
                </c:pt>
                <c:pt idx="15">
                  <c:v>0</c:v>
                </c:pt>
                <c:pt idx="16">
                  <c:v>0.22927180049828166</c:v>
                </c:pt>
                <c:pt idx="17">
                  <c:v>0.60644966388667854</c:v>
                </c:pt>
                <c:pt idx="18">
                  <c:v>1.2615944965777999</c:v>
                </c:pt>
                <c:pt idx="19">
                  <c:v>2.3179132421669237</c:v>
                </c:pt>
                <c:pt idx="20">
                  <c:v>3.8893847904896575</c:v>
                </c:pt>
                <c:pt idx="21">
                  <c:v>6.0788007345727237</c:v>
                </c:pt>
                <c:pt idx="22">
                  <c:v>8.9762570082921229</c:v>
                </c:pt>
                <c:pt idx="23">
                  <c:v>12.658109981391135</c:v>
                </c:pt>
                <c:pt idx="24">
                  <c:v>17.186390006725105</c:v>
                </c:pt>
                <c:pt idx="25">
                  <c:v>22.608647595132425</c:v>
                </c:pt>
                <c:pt idx="26">
                  <c:v>28.958192929703728</c:v>
                </c:pt>
                <c:pt idx="27">
                  <c:v>36.254678627072508</c:v>
                </c:pt>
                <c:pt idx="28">
                  <c:v>44.504968551507545</c:v>
                </c:pt>
                <c:pt idx="29">
                  <c:v>53.70423190811357</c:v>
                </c:pt>
                <c:pt idx="30">
                  <c:v>63.837201433311748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0362664"/>
        <c:axId val="535602760"/>
      </c:scatterChart>
      <c:valAx>
        <c:axId val="530362664"/>
        <c:scaling>
          <c:orientation val="minMax"/>
          <c:max val="115"/>
          <c:min val="85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Stock</a:t>
                </a:r>
              </a:p>
            </c:rich>
          </c:tx>
          <c:layout>
            <c:manualLayout>
              <c:xMode val="edge"/>
              <c:yMode val="edge"/>
              <c:x val="0.51534774092833457"/>
              <c:y val="0.8571446689509540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5602760"/>
        <c:crosses val="autoZero"/>
        <c:crossBetween val="midCat"/>
      </c:valAx>
      <c:valAx>
        <c:axId val="535602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Profit / Loss</a:t>
                </a:r>
              </a:p>
            </c:rich>
          </c:tx>
          <c:layout>
            <c:manualLayout>
              <c:xMode val="edge"/>
              <c:yMode val="edge"/>
              <c:x val="2.5848162554399229E-2"/>
              <c:y val="0.4112562805572759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3036266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1.1308571117549663E-2"/>
          <c:y val="0.93290240484308384"/>
          <c:w val="0.97576813642857085"/>
          <c:h val="5.1948161754603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9525</xdr:rowOff>
    </xdr:from>
    <xdr:to>
      <xdr:col>5</xdr:col>
      <xdr:colOff>809625</xdr:colOff>
      <xdr:row>35</xdr:row>
      <xdr:rowOff>114300</xdr:rowOff>
    </xdr:to>
    <xdr:graphicFrame macro="">
      <xdr:nvGraphicFramePr>
        <xdr:cNvPr id="1047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133350</xdr:rowOff>
    </xdr:from>
    <xdr:to>
      <xdr:col>6</xdr:col>
      <xdr:colOff>9525</xdr:colOff>
      <xdr:row>42</xdr:row>
      <xdr:rowOff>76200</xdr:rowOff>
    </xdr:to>
    <xdr:graphicFrame macro="">
      <xdr:nvGraphicFramePr>
        <xdr:cNvPr id="3082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41</xdr:row>
      <xdr:rowOff>9525</xdr:rowOff>
    </xdr:from>
    <xdr:to>
      <xdr:col>5</xdr:col>
      <xdr:colOff>962025</xdr:colOff>
      <xdr:row>67</xdr:row>
      <xdr:rowOff>104775</xdr:rowOff>
    </xdr:to>
    <xdr:graphicFrame macro="">
      <xdr:nvGraphicFramePr>
        <xdr:cNvPr id="4109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26251</xdr:colOff>
      <xdr:row>56</xdr:row>
      <xdr:rowOff>55060</xdr:rowOff>
    </xdr:from>
    <xdr:to>
      <xdr:col>15</xdr:col>
      <xdr:colOff>35777</xdr:colOff>
      <xdr:row>83</xdr:row>
      <xdr:rowOff>83635</xdr:rowOff>
    </xdr:to>
    <xdr:graphicFrame macro="">
      <xdr:nvGraphicFramePr>
        <xdr:cNvPr id="4110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6"/>
  <sheetViews>
    <sheetView tabSelected="1" zoomScale="91" zoomScaleNormal="91" workbookViewId="0">
      <selection activeCell="C22" sqref="C22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37197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13.035714285714285</v>
      </c>
      <c r="J3" s="11"/>
      <c r="K3" s="11">
        <f>C5+0.001</f>
        <v>100.001</v>
      </c>
      <c r="L3" s="11">
        <f>(LN(K3/C6)+(I7-I9+C8^2/2)*C4)/(C8*C4^0.5)</f>
        <v>8.9826420958788303E-2</v>
      </c>
      <c r="M3" s="11">
        <f>EXP(-I9*C4)*NORMSDIST(L3)</f>
        <v>0.53578742391559142</v>
      </c>
      <c r="N3" s="12">
        <f>+(M3-1)*EXP(-I9*C4)</f>
        <v>-0.46421257608440858</v>
      </c>
    </row>
    <row r="4" spans="1:14" x14ac:dyDescent="0.2">
      <c r="A4" s="8" t="s">
        <v>12</v>
      </c>
      <c r="B4" s="14"/>
      <c r="C4" s="15">
        <f>+(C3-C2)/365</f>
        <v>7.6712328767123292E-2</v>
      </c>
      <c r="D4" s="11"/>
      <c r="E4" s="13" t="s">
        <v>13</v>
      </c>
      <c r="F4" s="16">
        <f>C5*EXP(-I9*C4)*NORMSDIST(I5)-C6*EXP(-I7*C4)*NORMSDIST(I5-C8*C4^0.5)</f>
        <v>4.7086471407540245</v>
      </c>
      <c r="G4" s="16">
        <f>+F4-C5*EXP(-I9*C4)+C6*EXP(-I7*C4)</f>
        <v>4.3350659865306653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0.53575243414808993</v>
      </c>
      <c r="G5" s="16">
        <f>F5-EXP(-I9*C4)</f>
        <v>-0.46424756585191007</v>
      </c>
      <c r="H5" s="11"/>
      <c r="I5" s="11">
        <f>(LN(C5/C6)+(I7-I9+C8^2/2)*C4)/(C8*C4^0.5)</f>
        <v>8.9738360409848617E-2</v>
      </c>
      <c r="J5" s="11"/>
      <c r="K5" s="11">
        <f>+C8+0.0001</f>
        <v>0.41009999999999996</v>
      </c>
      <c r="L5" s="11">
        <f>(LN(C5/C6)+(I7-I9+K5^2/2)*C4)/(K5*C4^0.5)</f>
        <v>8.9744171955690899E-2</v>
      </c>
      <c r="M5" s="11">
        <f>C5*EXP(-I9*C4)*NORMSDIST(I5)-C6*EXP(-I7*C4)*NORMSDIST(I5-K5*C4^0.5)</f>
        <v>4.7097476503277989</v>
      </c>
      <c r="N5" s="12">
        <f>+M5-C5*EXP(-I9*C4)+C6*EXP(-I7*C4)</f>
        <v>4.3361664961044397</v>
      </c>
    </row>
    <row r="6" spans="1:14" x14ac:dyDescent="0.2">
      <c r="A6" s="8" t="s">
        <v>20</v>
      </c>
      <c r="B6" s="9"/>
      <c r="C6" s="51">
        <v>100</v>
      </c>
      <c r="D6" s="11"/>
      <c r="E6" s="13" t="s">
        <v>21</v>
      </c>
      <c r="F6" s="18">
        <f>+(M3-F5)/0.001</f>
        <v>3.4989767501492075E-2</v>
      </c>
      <c r="G6" s="18">
        <f>+(N3-G5)/0.001</f>
        <v>3.4989767501492075E-2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0.11005095737743886</v>
      </c>
      <c r="G7" s="18">
        <f>+(N5-G4)/0.01</f>
        <v>0.11005095737743886</v>
      </c>
      <c r="H7" s="11"/>
      <c r="I7" s="11">
        <f>LN(1+C7)</f>
        <v>4.8790164169432049E-2</v>
      </c>
      <c r="J7" s="19">
        <f>+C2+1</f>
        <v>37198</v>
      </c>
      <c r="K7" s="11">
        <f>+(C3-J7)/365</f>
        <v>7.3972602739726029E-2</v>
      </c>
      <c r="L7" s="11">
        <f>(LN(C5/C6)+(I7-I9+C8^2/2)*K7)/(C8*K7^0.5)</f>
        <v>8.8121320568434205E-2</v>
      </c>
      <c r="M7" s="11">
        <f>C5*EXP(-I9*K7)*NORMSDIST(I5)-C6*EXP(-I7*K7)*NORMSDIST(I5-C8*K7^0.5)</f>
        <v>4.6207962382862036</v>
      </c>
      <c r="N7" s="12">
        <f>+M7-C5*EXP(-I9*K7)+C6*EXP(-I7*K7)</f>
        <v>4.2605332052149549</v>
      </c>
    </row>
    <row r="8" spans="1:14" x14ac:dyDescent="0.2">
      <c r="A8" s="8" t="s">
        <v>27</v>
      </c>
      <c r="B8" s="9"/>
      <c r="C8" s="20">
        <v>0.41</v>
      </c>
      <c r="D8" s="11"/>
      <c r="E8" s="13" t="s">
        <v>28</v>
      </c>
      <c r="F8" s="53">
        <f>+M7-F4</f>
        <v>-8.7850902467820902E-2</v>
      </c>
      <c r="G8" s="18">
        <f>+N7-G4</f>
        <v>-7.4532781315710395E-2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  <row r="12" spans="1:14" x14ac:dyDescent="0.2">
      <c r="B12" s="52" t="s">
        <v>67</v>
      </c>
      <c r="C12" s="52"/>
      <c r="D12" s="52"/>
      <c r="E12" s="52"/>
      <c r="F12" s="52"/>
      <c r="G12" s="52"/>
      <c r="H12" s="52"/>
      <c r="I12" s="52"/>
      <c r="J12" s="52"/>
    </row>
    <row r="13" spans="1:14" x14ac:dyDescent="0.2">
      <c r="B13" s="54" t="s">
        <v>68</v>
      </c>
      <c r="C13" s="54"/>
      <c r="D13" s="54"/>
      <c r="E13" s="54"/>
      <c r="F13" s="54"/>
    </row>
    <row r="14" spans="1:14" x14ac:dyDescent="0.2">
      <c r="B14" s="47" t="s">
        <v>69</v>
      </c>
      <c r="C14" s="47"/>
      <c r="D14" s="47"/>
      <c r="E14" s="47"/>
    </row>
    <row r="16" spans="1:14" x14ac:dyDescent="0.2">
      <c r="B16" t="s">
        <v>70</v>
      </c>
    </row>
  </sheetData>
  <phoneticPr fontId="0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5"/>
  <sheetViews>
    <sheetView workbookViewId="0">
      <selection activeCell="N25" sqref="N25"/>
    </sheetView>
  </sheetViews>
  <sheetFormatPr defaultColWidth="14.7109375" defaultRowHeight="12.75" x14ac:dyDescent="0.2"/>
  <sheetData>
    <row r="1" spans="1:17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7" x14ac:dyDescent="0.2">
      <c r="A2" s="8" t="s">
        <v>3</v>
      </c>
      <c r="B2" s="9"/>
      <c r="C2" s="10">
        <v>37197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7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13.035714285714285</v>
      </c>
      <c r="J3" s="11"/>
      <c r="K3" s="11">
        <f>C5+0.001</f>
        <v>100.001</v>
      </c>
      <c r="L3" s="11">
        <f>(LN(K3/C6)+(I7-I9+C8^2/2)*C4)/(C8*C4^0.5)</f>
        <v>8.9826420958788303E-2</v>
      </c>
      <c r="M3" s="11">
        <f>EXP(-I9*C4)*NORMSDIST(L3)</f>
        <v>0.53578742391559142</v>
      </c>
      <c r="N3" s="12">
        <f>+(M3-1)*EXP(-I9*C4)</f>
        <v>-0.46421257608440858</v>
      </c>
    </row>
    <row r="4" spans="1:17" x14ac:dyDescent="0.2">
      <c r="A4" s="8" t="s">
        <v>12</v>
      </c>
      <c r="B4" s="14"/>
      <c r="C4" s="15">
        <f>+(C3-C2)/365</f>
        <v>7.6712328767123292E-2</v>
      </c>
      <c r="D4" s="11"/>
      <c r="E4" s="13" t="s">
        <v>13</v>
      </c>
      <c r="F4" s="16">
        <f>C5*EXP(-I9*C4)*NORMSDIST(I5)-C6*EXP(-I7*C4)*NORMSDIST(I5-C8*C4^0.5)</f>
        <v>4.7086471407540245</v>
      </c>
      <c r="G4" s="16">
        <f>+F4-C5*EXP(-I9*C4)+C6*EXP(-I7*C4)</f>
        <v>4.3350659865306653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7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0.53575243414808993</v>
      </c>
      <c r="G5" s="16">
        <f>F5-EXP(-I9*C4)</f>
        <v>-0.46424756585191007</v>
      </c>
      <c r="H5" s="11"/>
      <c r="I5" s="11">
        <f>(LN(C5/C6)+(I7-I9+C8^2/2)*C4)/(C8*C4^0.5)</f>
        <v>8.9738360409848617E-2</v>
      </c>
      <c r="J5" s="11"/>
      <c r="K5" s="11">
        <f>+C8+0.0001</f>
        <v>0.41009999999999996</v>
      </c>
      <c r="L5" s="11">
        <f>(LN(C5/C6)+(I7-I9+K5^2/2)*C4)/(K5*C4^0.5)</f>
        <v>8.9744171955690899E-2</v>
      </c>
      <c r="M5" s="11">
        <f>C5*EXP(-I9*C4)*NORMSDIST(I5)-C6*EXP(-I7*C4)*NORMSDIST(I5-K5*C4^0.5)</f>
        <v>4.7097476503277989</v>
      </c>
      <c r="N5" s="12">
        <f>+M5-C5*EXP(-I9*C4)+C6*EXP(-I7*C4)</f>
        <v>4.3361664961044397</v>
      </c>
    </row>
    <row r="6" spans="1:17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3.4989767501492075E-2</v>
      </c>
      <c r="G6" s="18">
        <f>+(N3-G5)/0.001</f>
        <v>3.4989767501492075E-2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7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0.11005095737743886</v>
      </c>
      <c r="G7" s="18">
        <f>+(N5-G4)/0.01</f>
        <v>0.11005095737743886</v>
      </c>
      <c r="H7" s="11"/>
      <c r="I7" s="11">
        <f>LN(1+C7)</f>
        <v>4.8790164169432049E-2</v>
      </c>
      <c r="J7" s="19">
        <f>+C2+1</f>
        <v>37198</v>
      </c>
      <c r="K7" s="11">
        <f>+(C3-J7)/365</f>
        <v>7.3972602739726029E-2</v>
      </c>
      <c r="L7" s="11">
        <f>(LN(C5/C6)+(I7-I9+C8^2/2)*K7)/(C8*K7^0.5)</f>
        <v>8.8121320568434205E-2</v>
      </c>
      <c r="M7" s="11">
        <f>C5*EXP(-I9*K7)*NORMSDIST(I5)-C6*EXP(-I7*K7)*NORMSDIST(I5-C8*K7^0.5)</f>
        <v>4.6207962382862036</v>
      </c>
      <c r="N7" s="12">
        <f>+M7-C5*EXP(-I9*K7)+C6*EXP(-I7*K7)</f>
        <v>4.2605332052149549</v>
      </c>
    </row>
    <row r="8" spans="1:17" x14ac:dyDescent="0.2">
      <c r="A8" s="8" t="s">
        <v>27</v>
      </c>
      <c r="B8" s="9"/>
      <c r="C8" s="20">
        <v>0.41</v>
      </c>
      <c r="D8" s="11"/>
      <c r="E8" s="13" t="s">
        <v>28</v>
      </c>
      <c r="F8" s="18">
        <f>+M7-F4</f>
        <v>-8.7850902467820902E-2</v>
      </c>
      <c r="G8" s="18">
        <f>+N7-G4</f>
        <v>-7.4532781315710395E-2</v>
      </c>
      <c r="H8" s="11"/>
      <c r="I8" s="11" t="s">
        <v>29</v>
      </c>
      <c r="J8" s="11"/>
      <c r="K8" s="11"/>
      <c r="L8" s="11"/>
      <c r="M8" s="11"/>
      <c r="N8" s="12"/>
    </row>
    <row r="9" spans="1:17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7" ht="13.5" thickTop="1" x14ac:dyDescent="0.2"/>
    <row r="12" spans="1:17" x14ac:dyDescent="0.2">
      <c r="G12" t="s">
        <v>31</v>
      </c>
      <c r="H12" t="s">
        <v>61</v>
      </c>
      <c r="I12" t="s">
        <v>64</v>
      </c>
      <c r="J12" t="s">
        <v>35</v>
      </c>
      <c r="K12" t="s">
        <v>36</v>
      </c>
    </row>
    <row r="14" spans="1:17" x14ac:dyDescent="0.2">
      <c r="G14" s="26"/>
      <c r="H14" s="26">
        <f>F4</f>
        <v>4.7086471407540245</v>
      </c>
      <c r="I14" s="26">
        <f>F5</f>
        <v>0.53575243414808993</v>
      </c>
      <c r="J14" s="50">
        <f>F6</f>
        <v>3.4989767501492075E-2</v>
      </c>
      <c r="K14" s="50">
        <f>F7</f>
        <v>0.11005095737743886</v>
      </c>
      <c r="O14" s="27"/>
      <c r="P14" s="27"/>
      <c r="Q14" s="27"/>
    </row>
    <row r="15" spans="1:17" x14ac:dyDescent="0.2">
      <c r="C15" s="26"/>
      <c r="G15">
        <v>85</v>
      </c>
      <c r="H15" s="40">
        <f t="dataTable" ref="H15:K45" dt2D="0" dtr="0" r1="C5"/>
        <v>0.384263932240966</v>
      </c>
      <c r="I15" s="40">
        <v>8.9892159593655763E-2</v>
      </c>
      <c r="J15">
        <v>1.6809944005491406E-2</v>
      </c>
      <c r="K15">
        <v>3.8195901863602444E-2</v>
      </c>
    </row>
    <row r="16" spans="1:17" x14ac:dyDescent="0.2">
      <c r="C16" s="26"/>
      <c r="G16">
        <v>86</v>
      </c>
      <c r="H16" s="40">
        <v>0.48291935370395755</v>
      </c>
      <c r="I16" s="40">
        <v>0.10777964198410886</v>
      </c>
      <c r="J16">
        <v>1.8975068013571406E-2</v>
      </c>
      <c r="K16">
        <v>4.4136320553178621E-2</v>
      </c>
    </row>
    <row r="17" spans="2:11" x14ac:dyDescent="0.2">
      <c r="G17">
        <v>87</v>
      </c>
      <c r="H17" s="40">
        <v>0.6005510219483412</v>
      </c>
      <c r="I17" s="40">
        <v>0.12784917727785045</v>
      </c>
      <c r="J17">
        <v>2.1167259728255283E-2</v>
      </c>
      <c r="K17">
        <v>5.0387424782805112E-2</v>
      </c>
    </row>
    <row r="18" spans="2:11" x14ac:dyDescent="0.2">
      <c r="G18">
        <v>88</v>
      </c>
      <c r="H18" s="40">
        <v>0.7393475925043056</v>
      </c>
      <c r="I18" s="40">
        <v>0.15010691343985078</v>
      </c>
      <c r="J18">
        <v>2.3344200251573799E-2</v>
      </c>
      <c r="K18">
        <v>5.6854705065845224E-2</v>
      </c>
    </row>
    <row r="19" spans="2:11" x14ac:dyDescent="0.2">
      <c r="G19">
        <v>89</v>
      </c>
      <c r="H19" s="40">
        <v>0.90148233983796544</v>
      </c>
      <c r="I19" s="40">
        <v>0.17451563779554607</v>
      </c>
      <c r="J19">
        <v>2.5461757996197987E-2</v>
      </c>
      <c r="K19">
        <v>6.3429812490412019E-2</v>
      </c>
    </row>
    <row r="20" spans="2:11" x14ac:dyDescent="0.2">
      <c r="G20">
        <v>90</v>
      </c>
      <c r="H20" s="40">
        <v>1.0890691664202912</v>
      </c>
      <c r="I20" s="40">
        <v>0.20099379622250069</v>
      </c>
      <c r="J20">
        <v>2.7475665717313635E-2</v>
      </c>
      <c r="K20">
        <v>6.9994054248923021E-2</v>
      </c>
    </row>
    <row r="21" spans="2:11" x14ac:dyDescent="0.2">
      <c r="G21">
        <v>91</v>
      </c>
      <c r="H21" s="40">
        <v>1.3041184769460976</v>
      </c>
      <c r="I21" s="40">
        <v>0.22941620758433162</v>
      </c>
      <c r="J21">
        <v>2.9343217466448746E-2</v>
      </c>
      <c r="K21">
        <v>7.6422496903916226E-2</v>
      </c>
    </row>
    <row r="22" spans="2:11" x14ac:dyDescent="0.2">
      <c r="G22">
        <v>92</v>
      </c>
      <c r="H22" s="40">
        <v>1.54849460654642</v>
      </c>
      <c r="I22" s="40">
        <v>0.25961644439907111</v>
      </c>
      <c r="J22">
        <v>3.1024888334174605E-2</v>
      </c>
      <c r="K22">
        <v>8.2588449030041033E-2</v>
      </c>
    </row>
    <row r="23" spans="2:11" x14ac:dyDescent="0.2">
      <c r="B23" s="26"/>
      <c r="G23">
        <v>93</v>
      </c>
      <c r="H23" s="40">
        <v>1.823876415380056</v>
      </c>
      <c r="I23" s="40">
        <v>0.29139075724094099</v>
      </c>
      <c r="J23">
        <v>3.2485788269087656E-2</v>
      </c>
      <c r="K23">
        <v>8.8368072839628553E-2</v>
      </c>
    </row>
    <row r="24" spans="2:11" x14ac:dyDescent="0.2">
      <c r="B24" s="26"/>
      <c r="G24">
        <v>94</v>
      </c>
      <c r="H24" s="40">
        <v>2.1317224973210998</v>
      </c>
      <c r="I24" s="40">
        <v>0.32450333846052898</v>
      </c>
      <c r="J24">
        <v>3.369687575954794E-2</v>
      </c>
      <c r="K24">
        <v>9.3644871692433185E-2</v>
      </c>
    </row>
    <row r="25" spans="2:11" x14ac:dyDescent="0.2">
      <c r="G25">
        <v>95</v>
      </c>
      <c r="H25" s="40">
        <v>2.4732422119462179</v>
      </c>
      <c r="I25" s="40">
        <v>0.35869265577739062</v>
      </c>
      <c r="J25">
        <v>3.4635876136723809E-2</v>
      </c>
      <c r="K25">
        <v>9.8313815882633548E-2</v>
      </c>
    </row>
    <row r="26" spans="2:11" x14ac:dyDescent="0.2">
      <c r="G26">
        <v>96</v>
      </c>
      <c r="H26" s="40">
        <v>2.8493734554700225</v>
      </c>
      <c r="I26" s="40">
        <v>0.39367854167393224</v>
      </c>
      <c r="J26">
        <v>3.5287870783662356E-2</v>
      </c>
      <c r="K26">
        <v>0.10228490081161112</v>
      </c>
    </row>
    <row r="27" spans="2:11" x14ac:dyDescent="0.2">
      <c r="G27">
        <v>97</v>
      </c>
      <c r="H27" s="40">
        <v>3.2607677590464448</v>
      </c>
      <c r="I27" s="40">
        <v>0.42916970190108489</v>
      </c>
      <c r="J27">
        <v>3.5645545699236614E-2</v>
      </c>
      <c r="K27">
        <v>0.10548597561808037</v>
      </c>
    </row>
    <row r="28" spans="2:11" x14ac:dyDescent="0.2">
      <c r="G28">
        <v>98</v>
      </c>
      <c r="H28" s="40">
        <v>3.7077829639725834</v>
      </c>
      <c r="I28" s="40">
        <v>0.46487130553427547</v>
      </c>
      <c r="J28">
        <v>3.5709108921366806E-2</v>
      </c>
      <c r="K28">
        <v>0.10786473247890171</v>
      </c>
    </row>
    <row r="29" spans="2:11" x14ac:dyDescent="0.2">
      <c r="G29">
        <v>99</v>
      </c>
      <c r="H29" s="40">
        <v>4.1904833937223103</v>
      </c>
      <c r="I29" s="40">
        <v>0.50049233799945403</v>
      </c>
      <c r="J29">
        <v>3.5485904753329578E-2</v>
      </c>
      <c r="K29">
        <v>0.10938980232566564</v>
      </c>
    </row>
    <row r="30" spans="2:11" x14ac:dyDescent="0.2">
      <c r="G30">
        <v>100</v>
      </c>
      <c r="H30" s="40">
        <v>4.7086471407540245</v>
      </c>
      <c r="I30" s="40">
        <v>0.53575243414808993</v>
      </c>
      <c r="J30">
        <v>3.4989767501492075E-2</v>
      </c>
      <c r="K30">
        <v>0.11005095737743886</v>
      </c>
    </row>
    <row r="31" spans="2:11" x14ac:dyDescent="0.2">
      <c r="G31">
        <v>101</v>
      </c>
      <c r="H31" s="40">
        <v>5.2617798263961006</v>
      </c>
      <c r="I31" s="40">
        <v>0.57038795675942389</v>
      </c>
      <c r="J31">
        <v>3.4240167873456073E-2</v>
      </c>
      <c r="K31">
        <v>0.10985847057938258</v>
      </c>
    </row>
    <row r="32" spans="2:11" x14ac:dyDescent="0.2">
      <c r="G32">
        <v>102</v>
      </c>
      <c r="H32" s="40">
        <v>5.8491339852371169</v>
      </c>
      <c r="I32" s="40">
        <v>0.60415714232532203</v>
      </c>
      <c r="J32">
        <v>3.3261211096147214E-2</v>
      </c>
      <c r="K32">
        <v>0.10884172398988312</v>
      </c>
    </row>
    <row r="33" spans="7:11" x14ac:dyDescent="0.2">
      <c r="G33">
        <v>103</v>
      </c>
      <c r="H33" s="40">
        <v>6.4697330772643511</v>
      </c>
      <c r="I33" s="40">
        <v>0.63684419615103927</v>
      </c>
      <c r="J33">
        <v>3.2080547357260514E-2</v>
      </c>
      <c r="K33">
        <v>0.10704719012579744</v>
      </c>
    </row>
    <row r="34" spans="7:11" x14ac:dyDescent="0.2">
      <c r="G34">
        <v>104</v>
      </c>
      <c r="H34" s="40">
        <v>7.122399043090951</v>
      </c>
      <c r="I34" s="40">
        <v>0.66826227854228515</v>
      </c>
      <c r="J34">
        <v>3.0728252845668713E-2</v>
      </c>
      <c r="K34">
        <v>0.10453593130321792</v>
      </c>
    </row>
    <row r="35" spans="7:11" x14ac:dyDescent="0.2">
      <c r="G35">
        <v>105</v>
      </c>
      <c r="H35" s="40">
        <v>7.8057822877199925</v>
      </c>
      <c r="I35" s="40">
        <v>0.69825537960436912</v>
      </c>
      <c r="J35">
        <v>2.9235734157029292E-2</v>
      </c>
      <c r="K35">
        <v>0.10138077201702345</v>
      </c>
    </row>
    <row r="36" spans="7:11" x14ac:dyDescent="0.2">
      <c r="G36">
        <v>106</v>
      </c>
      <c r="H36" s="40">
        <v>8.5183930009781506</v>
      </c>
      <c r="I36" s="40">
        <v>0.72669912918588153</v>
      </c>
      <c r="J36">
        <v>2.763470098698928E-2</v>
      </c>
      <c r="K36">
        <v>9.766329917084704E-2</v>
      </c>
    </row>
    <row r="37" spans="7:11" x14ac:dyDescent="0.2">
      <c r="G37">
        <v>107</v>
      </c>
      <c r="H37" s="40">
        <v>9.2586327902354952</v>
      </c>
      <c r="I37" s="40">
        <v>0.75350062884503632</v>
      </c>
      <c r="J37">
        <v>2.5956242694968878E-2</v>
      </c>
      <c r="K37">
        <v>9.347083591393357E-2</v>
      </c>
    </row>
    <row r="38" spans="7:11" x14ac:dyDescent="0.2">
      <c r="G38">
        <v>108</v>
      </c>
      <c r="H38" s="40">
        <v>10.02482570405175</v>
      </c>
      <c r="I38" s="40">
        <v>0.77859742334243442</v>
      </c>
      <c r="J38">
        <v>2.4230034352812346E-2</v>
      </c>
      <c r="K38">
        <v>8.8893518567090268E-2</v>
      </c>
    </row>
    <row r="39" spans="7:11" x14ac:dyDescent="0.2">
      <c r="G39">
        <v>109</v>
      </c>
      <c r="H39" s="40">
        <v>10.815247854034098</v>
      </c>
      <c r="I39" s="40">
        <v>0.80195574979575002</v>
      </c>
      <c r="J39">
        <v>2.2483687988184009E-2</v>
      </c>
      <c r="K39">
        <v>8.4021585108473573E-2</v>
      </c>
    </row>
    <row r="40" spans="7:11" x14ac:dyDescent="0.2">
      <c r="G40">
        <v>110</v>
      </c>
      <c r="H40" s="40">
        <v>11.6281549866125</v>
      </c>
      <c r="I40" s="40">
        <v>0.82356821366452859</v>
      </c>
      <c r="J40">
        <v>2.0742255522510078E-2</v>
      </c>
      <c r="K40">
        <v>7.8942959430605697E-2</v>
      </c>
    </row>
    <row r="41" spans="7:11" x14ac:dyDescent="0.2">
      <c r="G41">
        <v>111</v>
      </c>
      <c r="H41" s="40">
        <v>12.461807507456214</v>
      </c>
      <c r="I41" s="40">
        <v>0.84345104308510122</v>
      </c>
      <c r="J41">
        <v>1.902788181640247E-2</v>
      </c>
      <c r="K41">
        <v>7.3741190507803367E-2</v>
      </c>
    </row>
    <row r="42" spans="7:11" x14ac:dyDescent="0.2">
      <c r="G42">
        <v>112</v>
      </c>
      <c r="H42" s="40">
        <v>13.314492610809765</v>
      </c>
      <c r="I42" s="40">
        <v>0.86164106803117602</v>
      </c>
      <c r="J42">
        <v>1.735959956716826E-2</v>
      </c>
      <c r="K42">
        <v>6.8493781043343915E-2</v>
      </c>
    </row>
    <row r="43" spans="7:11" x14ac:dyDescent="0.2">
      <c r="G43">
        <v>113</v>
      </c>
      <c r="H43" s="40">
        <v>14.184543307456224</v>
      </c>
      <c r="I43" s="40">
        <v>0.87819255983286626</v>
      </c>
      <c r="J43">
        <v>1.5753252686545594E-2</v>
      </c>
      <c r="K43">
        <v>6.3270917571855989E-2</v>
      </c>
    </row>
    <row r="44" spans="7:11" x14ac:dyDescent="0.2">
      <c r="G44">
        <v>114</v>
      </c>
      <c r="H44" s="40">
        <v>15.070354273210299</v>
      </c>
      <c r="I44" s="40">
        <v>0.89317405131870886</v>
      </c>
      <c r="J44">
        <v>1.4221531244307251E-2</v>
      </c>
      <c r="K44">
        <v>5.8134594439707143E-2</v>
      </c>
    </row>
    <row r="45" spans="7:11" x14ac:dyDescent="0.2">
      <c r="G45">
        <v>115</v>
      </c>
      <c r="H45" s="40">
        <v>15.97039455124856</v>
      </c>
      <c r="I45" s="40">
        <v>0.90666523978396629</v>
      </c>
      <c r="J45">
        <v>1.2774099009238427E-2</v>
      </c>
      <c r="K45">
        <v>5.3138107948313973E-2</v>
      </c>
    </row>
  </sheetData>
  <phoneticPr fontId="0" type="noConversion"/>
  <pageMargins left="0.75" right="0.75" top="1" bottom="1" header="0.5" footer="0.5"/>
  <headerFooter alignWithMargins="0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5"/>
  <sheetViews>
    <sheetView topLeftCell="A16" workbookViewId="0">
      <selection activeCell="G14" sqref="G14:K45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12.586206896551722</v>
      </c>
      <c r="J3" s="11"/>
      <c r="K3" s="11">
        <f>C5+0.001</f>
        <v>100.001</v>
      </c>
      <c r="L3" s="11">
        <f>(LN(K3/C6)+(I7-I9+C8^2/2)*C4)/(C8*C4^0.5)</f>
        <v>9.0844676650841158E-2</v>
      </c>
      <c r="M3" s="11">
        <f>EXP(-I9*C4)*NORMSDIST(L3)</f>
        <v>0.53619199502012005</v>
      </c>
      <c r="N3" s="12">
        <f>+(M3-1)*EXP(-I9*C4)</f>
        <v>-0.46380800497987995</v>
      </c>
    </row>
    <row r="4" spans="1:14" x14ac:dyDescent="0.2">
      <c r="A4" s="8" t="s">
        <v>12</v>
      </c>
      <c r="B4" s="14"/>
      <c r="C4" s="15">
        <f>+(C3-C2)/365</f>
        <v>7.9452054794520555E-2</v>
      </c>
      <c r="D4" s="11"/>
      <c r="E4" s="13" t="s">
        <v>13</v>
      </c>
      <c r="F4" s="16">
        <f>C5*EXP(-I9*C4)*NORMSDIST(I5)-C6*EXP(-I7*C4)*NORMSDIST(I5-C8*C4^0.5)</f>
        <v>4.6830523561386812</v>
      </c>
      <c r="G4" s="16">
        <f>+F4-C5*EXP(-I9*C4)+C6*EXP(-I7*C4)</f>
        <v>4.2961548608999038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0.53615675752552172</v>
      </c>
      <c r="G5" s="16">
        <f>F5-EXP(-I9*C4)</f>
        <v>-0.46384324247447828</v>
      </c>
      <c r="H5" s="11"/>
      <c r="I5" s="11">
        <f>(LN(C5/C6)+(I7-I9+C8^2/2)*C4)/(C8*C4^0.5)</f>
        <v>9.0755984482937924E-2</v>
      </c>
      <c r="J5" s="11"/>
      <c r="K5" s="11">
        <f>+C8+0.0001</f>
        <v>0.40010000000000001</v>
      </c>
      <c r="L5" s="11">
        <f>(LN(C5/C6)+(I7-I9+K5^2/2)*C4)/(K5*C4^0.5)</f>
        <v>9.0761484875995488E-2</v>
      </c>
      <c r="M5" s="11">
        <f>C5*EXP(-I9*C4)*NORMSDIST(I5)-C6*EXP(-I7*C4)*NORMSDIST(I5-K5*C4^0.5)</f>
        <v>4.68417224244007</v>
      </c>
      <c r="N5" s="12">
        <f>+M5-C5*EXP(-I9*C4)+C6*EXP(-I7*C4)</f>
        <v>4.2972747472012855</v>
      </c>
    </row>
    <row r="6" spans="1:14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3.5237494598328034E-2</v>
      </c>
      <c r="G6" s="18">
        <f>+(N3-G5)/0.001</f>
        <v>3.5237494598328034E-2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0.11198863013888172</v>
      </c>
      <c r="G7" s="18">
        <f>+(N5-G4)/0.01</f>
        <v>0.11198863013817117</v>
      </c>
      <c r="H7" s="11"/>
      <c r="I7" s="11">
        <f>LN(1+C7)</f>
        <v>4.8790164169432049E-2</v>
      </c>
      <c r="J7" s="19">
        <f>+C2+1</f>
        <v>37197</v>
      </c>
      <c r="K7" s="11">
        <f>+(C3-J7)/365</f>
        <v>7.6712328767123292E-2</v>
      </c>
      <c r="L7" s="11">
        <f>(LN(C5/C6)+(I7-I9+C8^2/2)*K7)/(C8*K7^0.5)</f>
        <v>8.9177499122987683E-2</v>
      </c>
      <c r="M7" s="11">
        <f>C5*EXP(-I9*K7)*NORMSDIST(I5)-C6*EXP(-I7*K7)*NORMSDIST(I5-C8*K7^0.5)</f>
        <v>4.5985878657505239</v>
      </c>
      <c r="N7" s="12">
        <f>+M7-C5*EXP(-I9*K7)+C6*EXP(-I7*K7)</f>
        <v>4.2250067115271577</v>
      </c>
    </row>
    <row r="8" spans="1:14" x14ac:dyDescent="0.2">
      <c r="A8" s="8" t="s">
        <v>27</v>
      </c>
      <c r="B8" s="9"/>
      <c r="C8" s="20">
        <v>0.4</v>
      </c>
      <c r="D8" s="11"/>
      <c r="E8" s="13" t="s">
        <v>28</v>
      </c>
      <c r="F8" s="18">
        <f>+M7-F4</f>
        <v>-8.4464490388157287E-2</v>
      </c>
      <c r="G8" s="18">
        <f>+N7-G4</f>
        <v>-7.1148149372746161E-2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  <row r="11" spans="1:14" x14ac:dyDescent="0.2">
      <c r="L11" t="s">
        <v>58</v>
      </c>
    </row>
    <row r="12" spans="1:14" x14ac:dyDescent="0.2">
      <c r="G12" t="s">
        <v>31</v>
      </c>
      <c r="H12" s="27">
        <v>37196</v>
      </c>
      <c r="I12" s="27">
        <v>37205</v>
      </c>
      <c r="J12" s="27">
        <v>37215</v>
      </c>
      <c r="K12" s="27">
        <v>37224</v>
      </c>
    </row>
    <row r="14" spans="1:14" x14ac:dyDescent="0.2">
      <c r="G14" s="26">
        <f>F4</f>
        <v>4.6830523561386812</v>
      </c>
      <c r="H14" s="27">
        <v>37196</v>
      </c>
      <c r="I14" s="27">
        <v>37205</v>
      </c>
      <c r="J14" s="27">
        <v>37215</v>
      </c>
      <c r="K14" s="27">
        <v>37224</v>
      </c>
      <c r="L14" t="s">
        <v>58</v>
      </c>
    </row>
    <row r="15" spans="1:14" x14ac:dyDescent="0.2">
      <c r="G15">
        <v>85</v>
      </c>
      <c r="H15" s="40">
        <f t="dataTable" ref="H15:K45" dt2D="1" dtr="1" r1="C2" r2="C5"/>
        <v>0.37414234613200659</v>
      </c>
      <c r="I15" s="40">
        <v>0.1548047664318335</v>
      </c>
      <c r="J15" s="40">
        <v>1.4943545751380349E-2</v>
      </c>
      <c r="K15" s="40">
        <v>1.0577274149931752E-15</v>
      </c>
      <c r="L15">
        <f>MAX(0,G15-$C$5)</f>
        <v>0</v>
      </c>
    </row>
    <row r="16" spans="1:14" x14ac:dyDescent="0.2">
      <c r="G16">
        <v>86</v>
      </c>
      <c r="H16" s="40">
        <v>0.47126605827249435</v>
      </c>
      <c r="I16" s="40">
        <v>0.20996908025351946</v>
      </c>
      <c r="J16" s="40">
        <v>2.5391442916164131E-2</v>
      </c>
      <c r="K16" s="40">
        <v>7.9914621839077574E-14</v>
      </c>
      <c r="L16">
        <f t="shared" ref="L16:L45" si="0">MAX(0,G16-$C$5)</f>
        <v>0</v>
      </c>
    </row>
    <row r="17" spans="7:12" x14ac:dyDescent="0.2">
      <c r="G17">
        <v>87</v>
      </c>
      <c r="H17" s="40">
        <v>0.5873014869220583</v>
      </c>
      <c r="I17" s="40">
        <v>0.2803942955700176</v>
      </c>
      <c r="J17" s="40">
        <v>4.17914343644612E-2</v>
      </c>
      <c r="K17" s="40">
        <v>4.2696429965776526E-12</v>
      </c>
      <c r="L17">
        <f t="shared" si="0"/>
        <v>0</v>
      </c>
    </row>
    <row r="18" spans="7:12" x14ac:dyDescent="0.2">
      <c r="G18">
        <v>88</v>
      </c>
      <c r="H18" s="40">
        <v>0.72446565315057398</v>
      </c>
      <c r="I18" s="40">
        <v>0.36890750964347774</v>
      </c>
      <c r="J18" s="40">
        <v>6.6719964822427702E-2</v>
      </c>
      <c r="K18" s="40">
        <v>1.6338178758016648E-10</v>
      </c>
      <c r="L18">
        <f t="shared" si="0"/>
        <v>0</v>
      </c>
    </row>
    <row r="19" spans="7:12" x14ac:dyDescent="0.2">
      <c r="G19">
        <v>89</v>
      </c>
      <c r="H19" s="40">
        <v>0.88496381262480917</v>
      </c>
      <c r="I19" s="40">
        <v>0.47850088156311266</v>
      </c>
      <c r="J19" s="40">
        <v>0.10346199635086162</v>
      </c>
      <c r="K19" s="40">
        <v>4.5340768169207842E-9</v>
      </c>
      <c r="L19">
        <f t="shared" si="0"/>
        <v>0</v>
      </c>
    </row>
    <row r="20" spans="7:12" x14ac:dyDescent="0.2">
      <c r="G20">
        <v>90</v>
      </c>
      <c r="H20" s="40">
        <v>1.0709443996702923</v>
      </c>
      <c r="I20" s="40">
        <v>0.61226373437321691</v>
      </c>
      <c r="J20" s="40">
        <v>0.15604033269248418</v>
      </c>
      <c r="K20" s="40">
        <v>9.2384950198225185E-8</v>
      </c>
      <c r="L20">
        <f t="shared" si="0"/>
        <v>0</v>
      </c>
    </row>
    <row r="21" spans="7:12" x14ac:dyDescent="0.2">
      <c r="G21">
        <v>91</v>
      </c>
      <c r="H21" s="40">
        <v>1.2844536731170884</v>
      </c>
      <c r="I21" s="40">
        <v>0.77330370990438269</v>
      </c>
      <c r="J21" s="40">
        <v>0.22918485400495037</v>
      </c>
      <c r="K21" s="40">
        <v>1.3991500659959436E-6</v>
      </c>
      <c r="L21">
        <f t="shared" si="0"/>
        <v>0</v>
      </c>
    </row>
    <row r="22" spans="7:12" x14ac:dyDescent="0.2">
      <c r="G22">
        <v>92</v>
      </c>
      <c r="H22" s="40">
        <v>1.5273918216635956</v>
      </c>
      <c r="I22" s="40">
        <v>0.96466068393166182</v>
      </c>
      <c r="J22" s="40">
        <v>0.32823021966264321</v>
      </c>
      <c r="K22" s="40">
        <v>1.5944929666062823E-5</v>
      </c>
      <c r="L22">
        <f t="shared" si="0"/>
        <v>0</v>
      </c>
    </row>
    <row r="23" spans="7:12" x14ac:dyDescent="0.2">
      <c r="G23">
        <v>93</v>
      </c>
      <c r="H23" s="40">
        <v>1.8014722156505663</v>
      </c>
      <c r="I23" s="40">
        <v>1.189217829489305</v>
      </c>
      <c r="J23" s="40">
        <v>0.4589386631491621</v>
      </c>
      <c r="K23" s="40">
        <v>1.384539328011386E-4</v>
      </c>
      <c r="L23">
        <f t="shared" si="0"/>
        <v>0</v>
      </c>
    </row>
    <row r="24" spans="7:12" x14ac:dyDescent="0.2">
      <c r="G24">
        <v>94</v>
      </c>
      <c r="H24" s="40">
        <v>2.1081853273596707</v>
      </c>
      <c r="I24" s="40">
        <v>1.4496145498778041</v>
      </c>
      <c r="J24" s="40">
        <v>0.62725456357858178</v>
      </c>
      <c r="K24" s="40">
        <v>9.2790955821656085E-4</v>
      </c>
      <c r="L24">
        <f t="shared" si="0"/>
        <v>0</v>
      </c>
    </row>
    <row r="25" spans="7:12" x14ac:dyDescent="0.2">
      <c r="G25">
        <v>95</v>
      </c>
      <c r="H25" s="40">
        <v>2.4487685979059073</v>
      </c>
      <c r="I25" s="40">
        <v>1.7481659590186354</v>
      </c>
      <c r="J25" s="40">
        <v>0.83900785127046973</v>
      </c>
      <c r="K25" s="40">
        <v>4.8649692020314994E-3</v>
      </c>
      <c r="L25">
        <f t="shared" si="0"/>
        <v>0</v>
      </c>
    </row>
    <row r="26" spans="7:12" x14ac:dyDescent="0.2">
      <c r="G26">
        <v>96</v>
      </c>
      <c r="H26" s="40">
        <v>2.8241832250519892</v>
      </c>
      <c r="I26" s="40">
        <v>2.0867931750216044</v>
      </c>
      <c r="J26" s="40">
        <v>1.0995920620312596</v>
      </c>
      <c r="K26" s="40">
        <v>2.0242724252347966E-2</v>
      </c>
      <c r="L26">
        <f t="shared" si="0"/>
        <v>0</v>
      </c>
    </row>
    <row r="27" spans="7:12" x14ac:dyDescent="0.2">
      <c r="G27">
        <v>97</v>
      </c>
      <c r="H27" s="40">
        <v>3.2350985053231724</v>
      </c>
      <c r="I27" s="40">
        <v>2.4669679605696899</v>
      </c>
      <c r="J27" s="40">
        <v>1.4136482630489233</v>
      </c>
      <c r="K27" s="40">
        <v>6.7894884600847583E-2</v>
      </c>
      <c r="L27">
        <f t="shared" si="0"/>
        <v>0</v>
      </c>
    </row>
    <row r="28" spans="7:12" x14ac:dyDescent="0.2">
      <c r="G28">
        <v>98</v>
      </c>
      <c r="H28" s="40">
        <v>3.6818840089966045</v>
      </c>
      <c r="I28" s="40">
        <v>2.8896742685771954</v>
      </c>
      <c r="J28" s="40">
        <v>1.784787003725512</v>
      </c>
      <c r="K28" s="40">
        <v>0.18673367357348525</v>
      </c>
      <c r="L28">
        <f t="shared" si="0"/>
        <v>0</v>
      </c>
    </row>
    <row r="29" spans="7:12" x14ac:dyDescent="0.2">
      <c r="G29">
        <v>99</v>
      </c>
      <c r="H29" s="40">
        <v>4.1646095201984323</v>
      </c>
      <c r="I29" s="40">
        <v>3.3553881304553741</v>
      </c>
      <c r="J29" s="40">
        <v>2.2153766374508166</v>
      </c>
      <c r="K29" s="40">
        <v>0.42920551112169747</v>
      </c>
      <c r="L29">
        <f t="shared" si="0"/>
        <v>0</v>
      </c>
    </row>
    <row r="30" spans="7:12" x14ac:dyDescent="0.2">
      <c r="G30">
        <v>100</v>
      </c>
      <c r="H30" s="40">
        <v>4.6830523561386812</v>
      </c>
      <c r="I30" s="40">
        <v>3.864076161279975</v>
      </c>
      <c r="J30" s="40">
        <v>2.7064184741074868</v>
      </c>
      <c r="K30" s="40">
        <v>0.84189281535135052</v>
      </c>
      <c r="L30">
        <f t="shared" si="0"/>
        <v>0</v>
      </c>
    </row>
    <row r="31" spans="7:12" x14ac:dyDescent="0.2">
      <c r="G31">
        <v>101</v>
      </c>
      <c r="H31" s="40">
        <v>5.2367114053001558</v>
      </c>
      <c r="I31" s="40">
        <v>4.4152118505574052</v>
      </c>
      <c r="J31" s="40">
        <v>3.2575186655029853</v>
      </c>
      <c r="K31" s="40">
        <v>1.4415640692433129</v>
      </c>
      <c r="L31">
        <f t="shared" si="0"/>
        <v>1</v>
      </c>
    </row>
    <row r="32" spans="7:12" x14ac:dyDescent="0.2">
      <c r="G32">
        <v>102</v>
      </c>
      <c r="H32" s="40">
        <v>5.8248270054733879</v>
      </c>
      <c r="I32" s="40">
        <v>5.0078078438279832</v>
      </c>
      <c r="J32" s="40">
        <v>3.8669553198343039</v>
      </c>
      <c r="K32" s="40">
        <v>2.206147388377957</v>
      </c>
      <c r="L32">
        <f t="shared" si="0"/>
        <v>2</v>
      </c>
    </row>
    <row r="33" spans="7:12" x14ac:dyDescent="0.2">
      <c r="G33">
        <v>103</v>
      </c>
      <c r="H33" s="40">
        <v>6.4464056253931545</v>
      </c>
      <c r="I33" s="40">
        <v>5.6404616619768717</v>
      </c>
      <c r="J33" s="40">
        <v>4.5318289248222072</v>
      </c>
      <c r="K33" s="40">
        <v>3.0882050571657942</v>
      </c>
      <c r="L33">
        <f t="shared" si="0"/>
        <v>3</v>
      </c>
    </row>
    <row r="34" spans="7:12" x14ac:dyDescent="0.2">
      <c r="G34">
        <v>104</v>
      </c>
      <c r="H34" s="40">
        <v>7.1002482202318546</v>
      </c>
      <c r="I34" s="40">
        <v>6.3114117893425998</v>
      </c>
      <c r="J34" s="40">
        <v>5.2482762224971111</v>
      </c>
      <c r="K34" s="40">
        <v>4.0382427734419508</v>
      </c>
      <c r="L34">
        <f t="shared" si="0"/>
        <v>4</v>
      </c>
    </row>
    <row r="35" spans="7:12" x14ac:dyDescent="0.2">
      <c r="G35">
        <v>105</v>
      </c>
      <c r="H35" s="40">
        <v>7.7849810990433497</v>
      </c>
      <c r="I35" s="40">
        <v>7.0186008001777509</v>
      </c>
      <c r="J35" s="40">
        <v>6.0117231191719043</v>
      </c>
      <c r="K35" s="40">
        <v>5.0204160226381873</v>
      </c>
      <c r="L35">
        <f t="shared" si="0"/>
        <v>5</v>
      </c>
    </row>
    <row r="36" spans="7:12" x14ac:dyDescent="0.2">
      <c r="G36">
        <v>106</v>
      </c>
      <c r="H36" s="40">
        <v>8.49908816571984</v>
      </c>
      <c r="I36" s="40">
        <v>7.7597421740212269</v>
      </c>
      <c r="J36" s="40">
        <v>6.8171512495031124</v>
      </c>
      <c r="K36" s="40">
        <v>6.0150657443485613</v>
      </c>
      <c r="L36">
        <f t="shared" si="0"/>
        <v>6</v>
      </c>
    </row>
    <row r="37" spans="7:12" x14ac:dyDescent="0.2">
      <c r="G37">
        <v>107</v>
      </c>
      <c r="H37" s="40">
        <v>9.2409434658908651</v>
      </c>
      <c r="I37" s="40">
        <v>8.5323876435865884</v>
      </c>
      <c r="J37" s="40">
        <v>7.6593550467281091</v>
      </c>
      <c r="K37" s="40">
        <v>7.0137145575554598</v>
      </c>
      <c r="L37">
        <f t="shared" si="0"/>
        <v>7</v>
      </c>
    </row>
    <row r="38" spans="7:12" x14ac:dyDescent="0.2">
      <c r="G38">
        <v>108</v>
      </c>
      <c r="H38" s="40">
        <v>10.008843080620622</v>
      </c>
      <c r="I38" s="40">
        <v>9.3339922803422155</v>
      </c>
      <c r="J38" s="40">
        <v>8.533170766689409</v>
      </c>
      <c r="K38" s="40">
        <v>8.0134269850996844</v>
      </c>
      <c r="L38">
        <f t="shared" si="0"/>
        <v>8</v>
      </c>
    </row>
    <row r="39" spans="7:12" x14ac:dyDescent="0.2">
      <c r="G39">
        <v>109</v>
      </c>
      <c r="H39" s="40">
        <v>10.801035543198324</v>
      </c>
      <c r="I39" s="40">
        <v>10.161975002644752</v>
      </c>
      <c r="J39" s="40">
        <v>9.4336648249207258</v>
      </c>
      <c r="K39" s="40">
        <v>9.0133752886577838</v>
      </c>
      <c r="L39">
        <f t="shared" si="0"/>
        <v>9</v>
      </c>
    </row>
    <row r="40" spans="7:12" x14ac:dyDescent="0.2">
      <c r="G40">
        <v>110</v>
      </c>
      <c r="H40" s="40">
        <v>11.615750107293991</v>
      </c>
      <c r="I40" s="40">
        <v>11.013772737499195</v>
      </c>
      <c r="J40" s="40">
        <v>10.356274997868852</v>
      </c>
      <c r="K40" s="40">
        <v>10.013367417077376</v>
      </c>
      <c r="L40">
        <f t="shared" si="0"/>
        <v>10</v>
      </c>
    </row>
    <row r="41" spans="7:12" x14ac:dyDescent="0.2">
      <c r="G41">
        <v>111</v>
      </c>
      <c r="H41" s="40">
        <v>12.451222353509763</v>
      </c>
      <c r="I41" s="40">
        <v>11.886887031750177</v>
      </c>
      <c r="J41" s="40">
        <v>11.296903655752715</v>
      </c>
      <c r="K41" s="40">
        <v>11.013366398722951</v>
      </c>
      <c r="L41">
        <f t="shared" si="0"/>
        <v>11</v>
      </c>
    </row>
    <row r="42" spans="7:12" x14ac:dyDescent="0.2">
      <c r="G42">
        <v>112</v>
      </c>
      <c r="H42" s="40">
        <v>13.305716778343211</v>
      </c>
      <c r="I42" s="40">
        <v>12.778922450847958</v>
      </c>
      <c r="J42" s="40">
        <v>12.251966658191364</v>
      </c>
      <c r="K42" s="40">
        <v>12.013366286415504</v>
      </c>
      <c r="L42">
        <f t="shared" si="0"/>
        <v>12</v>
      </c>
    </row>
    <row r="43" spans="7:12" x14ac:dyDescent="0.2">
      <c r="G43">
        <v>113</v>
      </c>
      <c r="H43" s="40">
        <v>14.177546157741119</v>
      </c>
      <c r="I43" s="40">
        <v>13.687616591577353</v>
      </c>
      <c r="J43" s="40">
        <v>13.218404579213015</v>
      </c>
      <c r="K43" s="40">
        <v>13.013366275821014</v>
      </c>
      <c r="L43">
        <f t="shared" si="0"/>
        <v>13</v>
      </c>
    </row>
    <row r="44" spans="7:12" x14ac:dyDescent="0.2">
      <c r="G44">
        <v>114</v>
      </c>
      <c r="H44" s="40">
        <v>15.065087611375674</v>
      </c>
      <c r="I44" s="40">
        <v>14.610861947637346</v>
      </c>
      <c r="J44" s="40">
        <v>14.193664527526238</v>
      </c>
      <c r="K44" s="40">
        <v>14.013366274963104</v>
      </c>
      <c r="L44">
        <f t="shared" si="0"/>
        <v>14</v>
      </c>
    </row>
    <row r="45" spans="7:12" x14ac:dyDescent="0.2">
      <c r="G45">
        <v>115</v>
      </c>
      <c r="H45" s="40">
        <v>15.966795409801051</v>
      </c>
      <c r="I45" s="40">
        <v>15.546720191831298</v>
      </c>
      <c r="J45" s="40">
        <v>15.175661179409957</v>
      </c>
      <c r="K45" s="40">
        <v>15.013366274903277</v>
      </c>
      <c r="L45">
        <f t="shared" si="0"/>
        <v>15</v>
      </c>
    </row>
  </sheetData>
  <phoneticPr fontId="0" type="noConversion"/>
  <pageMargins left="0.75" right="0.75" top="1" bottom="1" header="0.5" footer="0.5"/>
  <headerFooter alignWithMargins="0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55"/>
  <sheetViews>
    <sheetView zoomScale="82" zoomScaleNormal="82" workbookViewId="0">
      <selection activeCell="Q34" sqref="Q34"/>
    </sheetView>
  </sheetViews>
  <sheetFormatPr defaultColWidth="14.7109375" defaultRowHeight="12.75" x14ac:dyDescent="0.2"/>
  <cols>
    <col min="1" max="1" width="18" style="33" customWidth="1"/>
    <col min="2" max="16384" width="14.7109375" style="33"/>
  </cols>
  <sheetData>
    <row r="1" spans="1:14" ht="13.5" thickTop="1" x14ac:dyDescent="0.2">
      <c r="A1" s="28" t="s">
        <v>0</v>
      </c>
      <c r="B1" s="29"/>
      <c r="C1" s="30"/>
      <c r="D1" s="31"/>
      <c r="E1" s="32" t="s">
        <v>1</v>
      </c>
      <c r="F1" s="30"/>
      <c r="G1" s="30"/>
      <c r="H1" s="31"/>
      <c r="I1" s="32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34"/>
      <c r="E2" s="34"/>
      <c r="F2" s="34"/>
      <c r="G2" s="34"/>
      <c r="H2" s="34"/>
      <c r="I2" s="34" t="s">
        <v>4</v>
      </c>
      <c r="J2" s="34"/>
      <c r="K2" s="34" t="s">
        <v>5</v>
      </c>
      <c r="L2" s="34" t="s">
        <v>6</v>
      </c>
      <c r="M2" s="34" t="s">
        <v>7</v>
      </c>
      <c r="N2" s="35" t="s">
        <v>8</v>
      </c>
    </row>
    <row r="3" spans="1:14" x14ac:dyDescent="0.2">
      <c r="A3" s="8" t="s">
        <v>9</v>
      </c>
      <c r="B3" s="9"/>
      <c r="C3" s="10">
        <v>37225</v>
      </c>
      <c r="D3" s="34"/>
      <c r="E3" s="13"/>
      <c r="F3" s="13" t="s">
        <v>10</v>
      </c>
      <c r="G3" s="13" t="s">
        <v>11</v>
      </c>
      <c r="H3" s="34"/>
      <c r="I3" s="34">
        <f>1/C4</f>
        <v>12.586206896551722</v>
      </c>
      <c r="J3" s="34"/>
      <c r="K3" s="34">
        <f>C5+0.001</f>
        <v>100.001</v>
      </c>
      <c r="L3" s="34">
        <f>(LN(K3/C6)+(I7-I9+C8^2/2)*C4)/(C8*C4^0.5)</f>
        <v>9.0844676650841158E-2</v>
      </c>
      <c r="M3" s="34">
        <f>EXP(-I9*C4)*NORMSDIST(L3)</f>
        <v>0.53619199502012005</v>
      </c>
      <c r="N3" s="35">
        <f>+(M3-1)*EXP(-I9*C4)</f>
        <v>-0.46380800497987995</v>
      </c>
    </row>
    <row r="4" spans="1:14" x14ac:dyDescent="0.2">
      <c r="A4" s="8" t="s">
        <v>12</v>
      </c>
      <c r="B4" s="36"/>
      <c r="C4" s="15">
        <f>+(C3-C2)/365</f>
        <v>7.9452054794520555E-2</v>
      </c>
      <c r="D4" s="34"/>
      <c r="E4" s="13" t="s">
        <v>13</v>
      </c>
      <c r="F4" s="16">
        <f>C5*EXP(-I9*C4)*NORMSDIST(I5)-C6*EXP(-I7*C4)*NORMSDIST(I5-C8*C4^0.5)</f>
        <v>4.6830523561386812</v>
      </c>
      <c r="G4" s="16">
        <f>+F4-C5*EXP(-I9*C4)+C6*EXP(-I7*C4)</f>
        <v>4.2961548608999038</v>
      </c>
      <c r="H4" s="34"/>
      <c r="I4" s="34" t="s">
        <v>14</v>
      </c>
      <c r="J4" s="34"/>
      <c r="K4" s="34" t="s">
        <v>15</v>
      </c>
      <c r="L4" s="34"/>
      <c r="M4" s="34" t="s">
        <v>16</v>
      </c>
      <c r="N4" s="35" t="s">
        <v>17</v>
      </c>
    </row>
    <row r="5" spans="1:14" x14ac:dyDescent="0.2">
      <c r="A5" s="8" t="s">
        <v>18</v>
      </c>
      <c r="B5" s="9"/>
      <c r="C5" s="17">
        <v>100</v>
      </c>
      <c r="D5" s="34"/>
      <c r="E5" s="13" t="s">
        <v>19</v>
      </c>
      <c r="F5" s="16">
        <f>EXP(-I9*C4)*NORMSDIST(I5)</f>
        <v>0.53615675752552172</v>
      </c>
      <c r="G5" s="16">
        <f>F5-EXP(-I9*C4)</f>
        <v>-0.46384324247447828</v>
      </c>
      <c r="H5" s="34"/>
      <c r="I5" s="34">
        <f>(LN(C5/C6)+(I7-I9+C8^2/2)*C4)/(C8*C4^0.5)</f>
        <v>9.0755984482937924E-2</v>
      </c>
      <c r="J5" s="34"/>
      <c r="K5" s="34">
        <f>+C8+0.0001</f>
        <v>0.40010000000000001</v>
      </c>
      <c r="L5" s="34">
        <f>(LN(C5/C6)+(I7-I9+K5^2/2)*C4)/(K5*C4^0.5)</f>
        <v>9.0761484875995488E-2</v>
      </c>
      <c r="M5" s="34">
        <f>C5*EXP(-I9*C4)*NORMSDIST(I5)-C6*EXP(-I7*C4)*NORMSDIST(I5-K5*C4^0.5)</f>
        <v>4.68417224244007</v>
      </c>
      <c r="N5" s="35">
        <f>+M5-C5*EXP(-I9*C4)+C6*EXP(-I7*C4)</f>
        <v>4.2972747472012855</v>
      </c>
    </row>
    <row r="6" spans="1:14" x14ac:dyDescent="0.2">
      <c r="A6" s="8" t="s">
        <v>20</v>
      </c>
      <c r="B6" s="9"/>
      <c r="C6" s="15">
        <v>100</v>
      </c>
      <c r="D6" s="34"/>
      <c r="E6" s="13" t="s">
        <v>21</v>
      </c>
      <c r="F6" s="18">
        <f>+(M3-F5)/0.001</f>
        <v>3.5237494598328034E-2</v>
      </c>
      <c r="G6" s="18">
        <f>+(N3-G5)/0.001</f>
        <v>3.5237494598328034E-2</v>
      </c>
      <c r="H6" s="34"/>
      <c r="I6" s="34" t="s">
        <v>22</v>
      </c>
      <c r="J6" s="34" t="s">
        <v>23</v>
      </c>
      <c r="K6" s="34" t="s">
        <v>24</v>
      </c>
      <c r="L6" s="34"/>
      <c r="M6" s="34"/>
      <c r="N6" s="35"/>
    </row>
    <row r="7" spans="1:14" x14ac:dyDescent="0.2">
      <c r="A7" s="8" t="s">
        <v>25</v>
      </c>
      <c r="B7" s="9"/>
      <c r="C7" s="17">
        <v>0.05</v>
      </c>
      <c r="D7" s="34"/>
      <c r="E7" s="13" t="s">
        <v>26</v>
      </c>
      <c r="F7" s="18">
        <f>+(M5-F4)/0.01</f>
        <v>0.11198863013888172</v>
      </c>
      <c r="G7" s="18">
        <f>+(N5-G4)/0.01</f>
        <v>0.11198863013817117</v>
      </c>
      <c r="H7" s="34"/>
      <c r="I7" s="34">
        <f>LN(1+C7)</f>
        <v>4.8790164169432049E-2</v>
      </c>
      <c r="J7" s="37">
        <f>+C2+1</f>
        <v>37197</v>
      </c>
      <c r="K7" s="34">
        <f>+(C3-J7)/365</f>
        <v>7.6712328767123292E-2</v>
      </c>
      <c r="L7" s="34">
        <f>(LN(C5/C6)+(I7-I9+C8^2/2)*K7)/(C8*K7^0.5)</f>
        <v>8.9177499122987683E-2</v>
      </c>
      <c r="M7" s="34">
        <f>C5*EXP(-I9*K7)*NORMSDIST(I5)-C6*EXP(-I7*K7)*NORMSDIST(I5-C8*K7^0.5)</f>
        <v>4.5985878657505239</v>
      </c>
      <c r="N7" s="35">
        <f>+M7-C5*EXP(-I9*K7)+C6*EXP(-I7*K7)</f>
        <v>4.2250067115271577</v>
      </c>
    </row>
    <row r="8" spans="1:14" x14ac:dyDescent="0.2">
      <c r="A8" s="8" t="s">
        <v>27</v>
      </c>
      <c r="B8" s="9"/>
      <c r="C8" s="20">
        <v>0.4</v>
      </c>
      <c r="D8" s="34"/>
      <c r="E8" s="13" t="s">
        <v>28</v>
      </c>
      <c r="F8" s="18">
        <f>+M7-F4</f>
        <v>-8.4464490388157287E-2</v>
      </c>
      <c r="G8" s="18">
        <f>+N7-G4</f>
        <v>-7.1148149372746161E-2</v>
      </c>
      <c r="H8" s="34"/>
      <c r="I8" s="34" t="s">
        <v>29</v>
      </c>
      <c r="J8" s="34"/>
      <c r="K8" s="34"/>
      <c r="L8" s="34"/>
      <c r="M8" s="34"/>
      <c r="N8" s="35"/>
    </row>
    <row r="9" spans="1:14" ht="13.5" thickBot="1" x14ac:dyDescent="0.25">
      <c r="A9" s="21" t="s">
        <v>30</v>
      </c>
      <c r="B9" s="22"/>
      <c r="C9" s="23">
        <v>0</v>
      </c>
      <c r="D9" s="38"/>
      <c r="E9" s="38"/>
      <c r="F9" s="38"/>
      <c r="G9" s="38"/>
      <c r="H9" s="38"/>
      <c r="I9" s="38">
        <f>LN(1+C9)</f>
        <v>0</v>
      </c>
      <c r="J9" s="38"/>
      <c r="K9" s="38"/>
      <c r="L9" s="38"/>
      <c r="M9" s="38"/>
      <c r="N9" s="39"/>
    </row>
    <row r="10" spans="1:14" ht="14.25" thickTop="1" thickBot="1" x14ac:dyDescent="0.25"/>
    <row r="11" spans="1:14" ht="13.5" thickTop="1" x14ac:dyDescent="0.2">
      <c r="A11" s="28" t="s">
        <v>0</v>
      </c>
      <c r="B11" s="29"/>
      <c r="C11" s="30"/>
      <c r="D11" s="31"/>
      <c r="E11" s="32" t="s">
        <v>1</v>
      </c>
      <c r="F11" s="30"/>
      <c r="G11" s="30"/>
      <c r="H11" s="31"/>
      <c r="I11" s="32" t="s">
        <v>2</v>
      </c>
      <c r="J11" s="6"/>
      <c r="K11" s="6"/>
      <c r="L11" s="6"/>
      <c r="M11" s="6"/>
      <c r="N11" s="7"/>
    </row>
    <row r="12" spans="1:14" x14ac:dyDescent="0.2">
      <c r="A12" s="8" t="s">
        <v>3</v>
      </c>
      <c r="B12" s="9"/>
      <c r="C12" s="10">
        <f>C2</f>
        <v>37196</v>
      </c>
      <c r="D12" s="34"/>
      <c r="E12" s="34"/>
      <c r="F12" s="34"/>
      <c r="G12" s="34"/>
      <c r="H12" s="34"/>
      <c r="I12" s="34" t="s">
        <v>4</v>
      </c>
      <c r="J12" s="34"/>
      <c r="K12" s="34" t="s">
        <v>5</v>
      </c>
      <c r="L12" s="34" t="s">
        <v>6</v>
      </c>
      <c r="M12" s="34" t="s">
        <v>7</v>
      </c>
      <c r="N12" s="35" t="s">
        <v>8</v>
      </c>
    </row>
    <row r="13" spans="1:14" x14ac:dyDescent="0.2">
      <c r="A13" s="8" t="s">
        <v>9</v>
      </c>
      <c r="B13" s="9"/>
      <c r="C13" s="10">
        <f t="shared" ref="C13:C19" si="0">C3</f>
        <v>37225</v>
      </c>
      <c r="D13" s="34"/>
      <c r="E13" s="13"/>
      <c r="F13" s="13" t="s">
        <v>10</v>
      </c>
      <c r="G13" s="13" t="s">
        <v>11</v>
      </c>
      <c r="H13" s="34"/>
      <c r="I13" s="34">
        <f>1/C14</f>
        <v>12.586206896551722</v>
      </c>
      <c r="J13" s="34"/>
      <c r="K13" s="34">
        <f>C15+0.001</f>
        <v>100.001</v>
      </c>
      <c r="L13" s="34">
        <f>(LN(K13/C16)+(I17-I19+C18^2/2)*C14)/(C18*C14^0.5)</f>
        <v>-0.34188803024960723</v>
      </c>
      <c r="M13" s="34">
        <f>EXP(-I19*C14)*NORMSDIST(L13)</f>
        <v>0.36621757896413892</v>
      </c>
      <c r="N13" s="35">
        <f>+(M13-1)*EXP(-I19*C14)</f>
        <v>-0.63378242103586113</v>
      </c>
    </row>
    <row r="14" spans="1:14" x14ac:dyDescent="0.2">
      <c r="A14" s="8" t="s">
        <v>12</v>
      </c>
      <c r="B14" s="36"/>
      <c r="C14" s="15">
        <f t="shared" si="0"/>
        <v>7.9452054794520555E-2</v>
      </c>
      <c r="D14" s="34"/>
      <c r="E14" s="13" t="s">
        <v>13</v>
      </c>
      <c r="F14" s="16">
        <f>C15*EXP(-I19*C14)*NORMSDIST(I15)-C16*EXP(-I17*C14)*NORMSDIST(I15-C18*C14^0.5)</f>
        <v>2.6617119637479121</v>
      </c>
      <c r="G14" s="16">
        <f>+F14-C15*EXP(-I19*C14)+C16*EXP(-I17*C14)</f>
        <v>7.2554695937471791</v>
      </c>
      <c r="H14" s="34"/>
      <c r="I14" s="34" t="s">
        <v>14</v>
      </c>
      <c r="J14" s="34"/>
      <c r="K14" s="34" t="s">
        <v>15</v>
      </c>
      <c r="L14" s="34"/>
      <c r="M14" s="34" t="s">
        <v>16</v>
      </c>
      <c r="N14" s="35" t="s">
        <v>17</v>
      </c>
    </row>
    <row r="15" spans="1:14" x14ac:dyDescent="0.2">
      <c r="A15" s="8" t="s">
        <v>18</v>
      </c>
      <c r="B15" s="9"/>
      <c r="C15" s="17">
        <f t="shared" si="0"/>
        <v>100</v>
      </c>
      <c r="D15" s="34"/>
      <c r="E15" s="13" t="s">
        <v>19</v>
      </c>
      <c r="F15" s="16">
        <f>EXP(-I19*C14)*NORMSDIST(I15)</f>
        <v>0.36618420506344362</v>
      </c>
      <c r="G15" s="16">
        <f>F15-EXP(-I19*C14)</f>
        <v>-0.63381579493655638</v>
      </c>
      <c r="H15" s="34"/>
      <c r="I15" s="34">
        <f>(LN(C15/C16)+(I17-I19+C18^2/2)*C14)/(C18*C14^0.5)</f>
        <v>-0.34197672241751076</v>
      </c>
      <c r="J15" s="34"/>
      <c r="K15" s="34">
        <f>+C18+0.0001</f>
        <v>0.40010000000000001</v>
      </c>
      <c r="L15" s="34">
        <f>(LN(C15/C16)+(I17-I19+K15^2/2)*C14)/(K15*C14^0.5)</f>
        <v>-0.34186306588676252</v>
      </c>
      <c r="M15" s="34">
        <f>C15*EXP(-I19*C14)*NORMSDIST(I15)-C16*EXP(-I17*C14)*NORMSDIST(I15-K15*C14^0.5)</f>
        <v>2.6627725961646789</v>
      </c>
      <c r="N15" s="35">
        <f>+M15-C15*EXP(-I19*C14)+C16*EXP(-I17*C14)</f>
        <v>7.2565302261639459</v>
      </c>
    </row>
    <row r="16" spans="1:14" x14ac:dyDescent="0.2">
      <c r="A16" s="8" t="s">
        <v>20</v>
      </c>
      <c r="B16" s="9"/>
      <c r="C16" s="15">
        <v>105</v>
      </c>
      <c r="D16" s="34"/>
      <c r="E16" s="13" t="s">
        <v>21</v>
      </c>
      <c r="F16" s="18">
        <f>+(M13-F15)/0.001</f>
        <v>3.337390069529933E-2</v>
      </c>
      <c r="G16" s="18">
        <f>+(N13-G15)/0.001</f>
        <v>3.3373900695243819E-2</v>
      </c>
      <c r="H16" s="34"/>
      <c r="I16" s="34" t="s">
        <v>22</v>
      </c>
      <c r="J16" s="34" t="s">
        <v>23</v>
      </c>
      <c r="K16" s="34" t="s">
        <v>24</v>
      </c>
      <c r="L16" s="34"/>
      <c r="M16" s="34"/>
      <c r="N16" s="35"/>
    </row>
    <row r="17" spans="1:17" x14ac:dyDescent="0.2">
      <c r="A17" s="8" t="s">
        <v>25</v>
      </c>
      <c r="B17" s="9"/>
      <c r="C17" s="17">
        <f t="shared" si="0"/>
        <v>0.05</v>
      </c>
      <c r="D17" s="34"/>
      <c r="E17" s="13" t="s">
        <v>26</v>
      </c>
      <c r="F17" s="18">
        <f>+(M15-F14)/0.01</f>
        <v>0.10606324167667935</v>
      </c>
      <c r="G17" s="18">
        <f>+(N15-G14)/0.01</f>
        <v>0.10606324167667935</v>
      </c>
      <c r="H17" s="34"/>
      <c r="I17" s="34">
        <f>LN(1+C17)</f>
        <v>4.8790164169432049E-2</v>
      </c>
      <c r="J17" s="37">
        <f>+C12+1</f>
        <v>37197</v>
      </c>
      <c r="K17" s="34">
        <f>+(C13-J17)/365</f>
        <v>7.6712328767123292E-2</v>
      </c>
      <c r="L17" s="34">
        <f>(LN(C15/C16)+(I17-I19+C18^2/2)*K17)/(C18*K17^0.5)</f>
        <v>-0.3512147883816667</v>
      </c>
      <c r="M17" s="34">
        <f>C15*EXP(-I19*K17)*NORMSDIST(I15)-C16*EXP(-I17*K17)*NORMSDIST(I15-C18*K17^0.5)</f>
        <v>2.5833406529677774</v>
      </c>
      <c r="N17" s="35">
        <f>+M17-C15*EXP(-I19*K17)+C16*EXP(-I17*K17)</f>
        <v>7.1910804410332503</v>
      </c>
    </row>
    <row r="18" spans="1:17" x14ac:dyDescent="0.2">
      <c r="A18" s="8" t="s">
        <v>27</v>
      </c>
      <c r="B18" s="9"/>
      <c r="C18" s="20">
        <f t="shared" si="0"/>
        <v>0.4</v>
      </c>
      <c r="D18" s="34"/>
      <c r="E18" s="13" t="s">
        <v>28</v>
      </c>
      <c r="F18" s="18">
        <f>+M17-F14</f>
        <v>-7.8371310780134706E-2</v>
      </c>
      <c r="G18" s="18">
        <f>+N17-G14</f>
        <v>-6.4389152713928866E-2</v>
      </c>
      <c r="H18" s="34"/>
      <c r="I18" s="34" t="s">
        <v>29</v>
      </c>
      <c r="J18" s="34"/>
      <c r="K18" s="34"/>
      <c r="L18" s="34"/>
      <c r="M18" s="34"/>
      <c r="N18" s="35"/>
    </row>
    <row r="19" spans="1:17" ht="13.5" thickBot="1" x14ac:dyDescent="0.25">
      <c r="A19" s="21" t="s">
        <v>30</v>
      </c>
      <c r="B19" s="22"/>
      <c r="C19" s="23">
        <f t="shared" si="0"/>
        <v>0</v>
      </c>
      <c r="D19" s="38"/>
      <c r="E19" s="38"/>
      <c r="F19" s="38"/>
      <c r="G19" s="38"/>
      <c r="H19" s="38"/>
      <c r="I19" s="38">
        <f>LN(1+C19)</f>
        <v>0</v>
      </c>
      <c r="J19" s="38"/>
      <c r="K19" s="38"/>
      <c r="L19" s="38"/>
      <c r="M19" s="38"/>
      <c r="N19" s="39"/>
    </row>
    <row r="20" spans="1:17" ht="13.5" thickTop="1" x14ac:dyDescent="0.2"/>
    <row r="21" spans="1:17" x14ac:dyDescent="0.2">
      <c r="B21" s="56" t="s">
        <v>71</v>
      </c>
      <c r="C21" s="56"/>
      <c r="D21" s="56"/>
      <c r="H21" s="56" t="s">
        <v>72</v>
      </c>
      <c r="I21" s="56"/>
      <c r="J21" s="56"/>
      <c r="K21" s="56"/>
      <c r="L21" s="56"/>
      <c r="M21" s="56"/>
      <c r="N21" s="56"/>
      <c r="O21" s="56"/>
      <c r="P21" s="56"/>
      <c r="Q21" s="56"/>
    </row>
    <row r="22" spans="1:17" x14ac:dyDescent="0.2">
      <c r="B22" s="48" t="s">
        <v>31</v>
      </c>
      <c r="C22" s="48" t="s">
        <v>39</v>
      </c>
      <c r="D22" s="48" t="s">
        <v>40</v>
      </c>
      <c r="E22" s="48" t="s">
        <v>41</v>
      </c>
      <c r="F22" s="48"/>
      <c r="H22" s="57" t="s">
        <v>73</v>
      </c>
    </row>
    <row r="23" spans="1:17" x14ac:dyDescent="0.2">
      <c r="A23" s="47" t="s">
        <v>33</v>
      </c>
      <c r="B23" s="33">
        <v>15</v>
      </c>
      <c r="C23" s="33">
        <v>-100</v>
      </c>
      <c r="D23" s="33">
        <v>106</v>
      </c>
      <c r="G23" s="48" t="s">
        <v>31</v>
      </c>
      <c r="H23" s="48" t="s">
        <v>45</v>
      </c>
      <c r="J23" s="33" t="s">
        <v>65</v>
      </c>
      <c r="L23" s="59" t="s">
        <v>74</v>
      </c>
      <c r="M23" s="59"/>
      <c r="N23" s="59"/>
      <c r="O23" s="59"/>
    </row>
    <row r="24" spans="1:17" x14ac:dyDescent="0.2">
      <c r="G24" s="26"/>
      <c r="H24" s="58">
        <f>F37</f>
        <v>0</v>
      </c>
      <c r="J24" s="47" t="s">
        <v>31</v>
      </c>
      <c r="K24" s="47" t="s">
        <v>61</v>
      </c>
      <c r="L24" s="47" t="s">
        <v>59</v>
      </c>
      <c r="M24" s="47" t="s">
        <v>60</v>
      </c>
      <c r="N24" s="47" t="s">
        <v>62</v>
      </c>
      <c r="O24" s="47" t="s">
        <v>63</v>
      </c>
    </row>
    <row r="25" spans="1:17" x14ac:dyDescent="0.2">
      <c r="A25" s="49" t="s">
        <v>56</v>
      </c>
      <c r="B25" s="45"/>
      <c r="C25" s="45"/>
      <c r="D25" s="45"/>
      <c r="E25" s="45"/>
      <c r="G25">
        <v>85</v>
      </c>
      <c r="H25" s="42">
        <f t="dataTable" ref="H25:H55" dt2D="0" dtr="0" r1="C5"/>
        <v>-61.72294231242654</v>
      </c>
      <c r="J25" s="42">
        <v>-1500</v>
      </c>
      <c r="K25" s="33">
        <v>-430.89100100066747</v>
      </c>
      <c r="L25" s="42">
        <v>-1069.1089989993325</v>
      </c>
      <c r="M25" s="42">
        <v>-379.10899899933247</v>
      </c>
      <c r="N25" s="42">
        <v>62.290663984519263</v>
      </c>
      <c r="O25" s="42">
        <v>-61.72294231242654</v>
      </c>
    </row>
    <row r="26" spans="1:17" x14ac:dyDescent="0.2">
      <c r="A26" s="47" t="s">
        <v>32</v>
      </c>
      <c r="B26" s="33">
        <v>100</v>
      </c>
      <c r="C26" s="41">
        <v>4.6830523561386812</v>
      </c>
      <c r="D26" s="41">
        <v>2.6617119637479121</v>
      </c>
      <c r="G26" s="33">
        <v>86</v>
      </c>
      <c r="H26" s="42">
        <v>-52.009108335564861</v>
      </c>
      <c r="J26" s="42">
        <v>-1400</v>
      </c>
      <c r="K26" s="33">
        <v>-421.17862978661873</v>
      </c>
      <c r="L26" s="42">
        <v>-978.82137021337985</v>
      </c>
      <c r="M26" s="42">
        <v>-334.82137021338167</v>
      </c>
      <c r="N26" s="42">
        <v>58.674764071158307</v>
      </c>
      <c r="O26" s="42">
        <v>-52.009108335564861</v>
      </c>
    </row>
    <row r="27" spans="1:17" x14ac:dyDescent="0.2">
      <c r="A27" s="47" t="s">
        <v>34</v>
      </c>
      <c r="B27" s="33">
        <v>1</v>
      </c>
      <c r="C27" s="41">
        <v>0.53615675752552172</v>
      </c>
      <c r="D27" s="41">
        <v>0.36618420506344362</v>
      </c>
      <c r="E27" s="41"/>
      <c r="G27">
        <v>87</v>
      </c>
      <c r="H27" s="42">
        <v>-43.121163867877158</v>
      </c>
      <c r="J27" s="42">
        <v>-1300</v>
      </c>
      <c r="K27" s="33">
        <v>-409.57508692166232</v>
      </c>
      <c r="L27" s="42">
        <v>-890.42491307833734</v>
      </c>
      <c r="M27" s="42">
        <v>-292.42491307833825</v>
      </c>
      <c r="N27" s="42">
        <v>54.63496790965506</v>
      </c>
      <c r="O27" s="42">
        <v>-43.121163867877158</v>
      </c>
    </row>
    <row r="28" spans="1:17" x14ac:dyDescent="0.2">
      <c r="A28" s="47" t="s">
        <v>35</v>
      </c>
      <c r="B28" s="33">
        <v>0</v>
      </c>
      <c r="C28" s="41">
        <v>3.5237494598328034E-2</v>
      </c>
      <c r="D28" s="41">
        <v>3.337390069529933E-2</v>
      </c>
      <c r="E28" s="41"/>
      <c r="G28" s="33">
        <v>88</v>
      </c>
      <c r="H28" s="42">
        <v>-35.102053958406486</v>
      </c>
      <c r="J28" s="42">
        <v>-1200</v>
      </c>
      <c r="K28" s="33">
        <v>-395.85867029881075</v>
      </c>
      <c r="L28" s="42">
        <v>-804.14132970118953</v>
      </c>
      <c r="M28" s="42">
        <v>-252.14132970118953</v>
      </c>
      <c r="N28" s="42">
        <v>50.195785944530343</v>
      </c>
      <c r="O28" s="42">
        <v>-35.102053958406486</v>
      </c>
    </row>
    <row r="29" spans="1:17" x14ac:dyDescent="0.2">
      <c r="A29" s="47" t="s">
        <v>36</v>
      </c>
      <c r="B29" s="33">
        <v>0</v>
      </c>
      <c r="C29" s="41">
        <v>0.11198863013888172</v>
      </c>
      <c r="D29" s="41">
        <v>0.10606324167667935</v>
      </c>
      <c r="E29" s="41"/>
      <c r="G29">
        <v>89</v>
      </c>
      <c r="H29" s="42">
        <v>-27.980991537068348</v>
      </c>
      <c r="J29" s="42">
        <v>-1100</v>
      </c>
      <c r="K29" s="33">
        <v>-379.80885435138725</v>
      </c>
      <c r="L29" s="42">
        <v>-720.19114564861229</v>
      </c>
      <c r="M29" s="42">
        <v>-214.1911456486132</v>
      </c>
      <c r="N29" s="42">
        <v>45.400198693703011</v>
      </c>
      <c r="O29" s="42">
        <v>-27.980991537068348</v>
      </c>
    </row>
    <row r="30" spans="1:17" x14ac:dyDescent="0.2">
      <c r="A30" s="47" t="s">
        <v>55</v>
      </c>
      <c r="B30" s="33">
        <f t="shared" ref="B30:B31" si="1">B$23*B26</f>
        <v>1500</v>
      </c>
      <c r="C30" s="33">
        <f t="shared" ref="C30:D30" si="2">C$23*C26</f>
        <v>-468.30523561386815</v>
      </c>
      <c r="D30" s="33">
        <f t="shared" si="2"/>
        <v>282.14146815727867</v>
      </c>
      <c r="E30" s="41">
        <f>SUM(B30:D30)</f>
        <v>1313.8362325434105</v>
      </c>
      <c r="G30" s="33">
        <v>90</v>
      </c>
      <c r="H30" s="42">
        <v>-21.771333839721592</v>
      </c>
      <c r="J30" s="42">
        <v>-1000</v>
      </c>
      <c r="K30" s="33">
        <v>-361.2107956468389</v>
      </c>
      <c r="L30" s="42">
        <v>-638.78920435316104</v>
      </c>
      <c r="M30" s="42">
        <v>-178.78920435316104</v>
      </c>
      <c r="N30" s="42">
        <v>40.310881448368932</v>
      </c>
      <c r="O30" s="42">
        <v>-21.771333839721592</v>
      </c>
    </row>
    <row r="31" spans="1:17" x14ac:dyDescent="0.2">
      <c r="A31" s="47" t="s">
        <v>52</v>
      </c>
      <c r="B31" s="33">
        <f t="shared" si="1"/>
        <v>15</v>
      </c>
      <c r="C31" s="33">
        <f t="shared" ref="C31:D31" si="3">C$23*C27</f>
        <v>-53.615675752552171</v>
      </c>
      <c r="D31" s="33">
        <f t="shared" si="3"/>
        <v>38.815525736725021</v>
      </c>
      <c r="E31" s="41">
        <f>SUM(B31:D31)</f>
        <v>0.19984998417285027</v>
      </c>
      <c r="F31" s="33">
        <f>-E31/D27</f>
        <v>-0.54576352941882089</v>
      </c>
      <c r="G31">
        <v>91</v>
      </c>
      <c r="H31" s="42">
        <v>-16.468945028502503</v>
      </c>
      <c r="J31" s="42">
        <v>-900</v>
      </c>
      <c r="K31" s="33">
        <v>-339.85986830215933</v>
      </c>
      <c r="L31" s="42">
        <v>-560.14013169784084</v>
      </c>
      <c r="M31" s="42">
        <v>-146.14013169784084</v>
      </c>
      <c r="N31" s="42">
        <v>35.010748054266671</v>
      </c>
      <c r="O31" s="42">
        <v>-16.468945028502503</v>
      </c>
    </row>
    <row r="32" spans="1:17" x14ac:dyDescent="0.2">
      <c r="A32" s="47" t="s">
        <v>53</v>
      </c>
      <c r="B32" s="33">
        <f t="shared" ref="B32" si="4">B$23*B28</f>
        <v>0</v>
      </c>
      <c r="C32" s="33">
        <f t="shared" ref="C32:D32" si="5">C$23*C28</f>
        <v>-3.5237494598328034</v>
      </c>
      <c r="D32" s="33">
        <f t="shared" si="5"/>
        <v>3.537633473701729</v>
      </c>
      <c r="E32" s="41">
        <f>SUM(B32:D32)</f>
        <v>1.3884013868925571E-2</v>
      </c>
      <c r="F32" s="33">
        <f>-E32/D28</f>
        <v>-0.41601411820827755</v>
      </c>
      <c r="G32" s="33">
        <v>92</v>
      </c>
      <c r="H32" s="42">
        <v>-12.051142727083516</v>
      </c>
      <c r="J32" s="42">
        <v>-800</v>
      </c>
      <c r="K32" s="33">
        <v>-315.56605344750858</v>
      </c>
      <c r="L32" s="42">
        <v>-484.43394655248994</v>
      </c>
      <c r="M32" s="42">
        <v>-116.43394655249176</v>
      </c>
      <c r="N32" s="42">
        <v>29.602745508919384</v>
      </c>
      <c r="O32" s="42">
        <v>-12.051142727083516</v>
      </c>
    </row>
    <row r="33" spans="1:15" x14ac:dyDescent="0.2">
      <c r="A33" s="47" t="s">
        <v>54</v>
      </c>
      <c r="B33" s="33">
        <f>B$23*B29</f>
        <v>0</v>
      </c>
      <c r="C33" s="33">
        <f t="shared" ref="C33:D33" si="6">C$23*C29</f>
        <v>-11.198863013888172</v>
      </c>
      <c r="D33" s="33">
        <f t="shared" si="6"/>
        <v>11.242703617728012</v>
      </c>
      <c r="E33" s="41">
        <f>SUM(B33:D33)</f>
        <v>4.3840603839839787E-2</v>
      </c>
      <c r="G33">
        <v>93</v>
      </c>
      <c r="H33" s="42">
        <v>-8.4762948125594448</v>
      </c>
      <c r="J33" s="42">
        <v>-700</v>
      </c>
      <c r="K33" s="33">
        <v>-288.15801404881154</v>
      </c>
      <c r="L33" s="42">
        <v>-411.84198595118869</v>
      </c>
      <c r="M33" s="42">
        <v>-89.84198595118869</v>
      </c>
      <c r="N33" s="42">
        <v>24.208871654847627</v>
      </c>
      <c r="O33" s="42">
        <v>-8.4762948125594448</v>
      </c>
    </row>
    <row r="34" spans="1:15" x14ac:dyDescent="0.2">
      <c r="G34" s="33">
        <v>94</v>
      </c>
      <c r="H34" s="42">
        <v>-5.68409729257246</v>
      </c>
      <c r="J34" s="42">
        <v>-600</v>
      </c>
      <c r="K34" s="33">
        <v>-257.48670287790105</v>
      </c>
      <c r="L34" s="42">
        <v>-342.51329712209917</v>
      </c>
      <c r="M34" s="42">
        <v>-66.513297122099175</v>
      </c>
      <c r="N34" s="42">
        <v>18.968430944984334</v>
      </c>
      <c r="O34" s="42">
        <v>-5.68409729257246</v>
      </c>
    </row>
    <row r="35" spans="1:15" x14ac:dyDescent="0.2">
      <c r="A35" s="49" t="s">
        <v>57</v>
      </c>
      <c r="B35" s="45"/>
      <c r="C35" s="46"/>
      <c r="D35" s="46"/>
      <c r="E35" s="46"/>
      <c r="G35">
        <v>95</v>
      </c>
      <c r="H35" s="42">
        <v>-3.5965271474458405</v>
      </c>
      <c r="J35" s="42">
        <v>-500</v>
      </c>
      <c r="K35" s="33">
        <v>-223.42837582327741</v>
      </c>
      <c r="L35" s="42">
        <v>-276.57162417672225</v>
      </c>
      <c r="M35" s="42">
        <v>-46.571624176723162</v>
      </c>
      <c r="N35" s="42">
        <v>14.035584939073686</v>
      </c>
      <c r="O35" s="42">
        <v>-3.5965271474458405</v>
      </c>
    </row>
    <row r="36" spans="1:15" x14ac:dyDescent="0.2">
      <c r="A36" s="47" t="s">
        <v>37</v>
      </c>
      <c r="B36" s="33">
        <f>C5</f>
        <v>100</v>
      </c>
      <c r="C36" s="41">
        <f>F4</f>
        <v>4.6830523561386812</v>
      </c>
      <c r="D36" s="41">
        <f>F14</f>
        <v>2.6617119637479121</v>
      </c>
      <c r="E36" s="41"/>
      <c r="F36" s="33" t="s">
        <v>45</v>
      </c>
      <c r="G36" s="33">
        <v>96</v>
      </c>
      <c r="H36" s="42">
        <v>-2.1194283221732348</v>
      </c>
      <c r="J36" s="42">
        <v>-400</v>
      </c>
      <c r="K36" s="33">
        <v>-185.88691310866921</v>
      </c>
      <c r="L36" s="42">
        <v>-214.11308689132966</v>
      </c>
      <c r="M36" s="42">
        <v>-30.113086891331477</v>
      </c>
      <c r="N36" s="42">
        <v>9.5762918926028817</v>
      </c>
      <c r="O36" s="42">
        <v>-2.1194283221732348</v>
      </c>
    </row>
    <row r="37" spans="1:15" x14ac:dyDescent="0.2">
      <c r="A37" s="47" t="s">
        <v>38</v>
      </c>
      <c r="B37" s="33">
        <f>B$23*B36</f>
        <v>1500</v>
      </c>
      <c r="C37" s="41">
        <f>C$23*F4</f>
        <v>-468.30523561386815</v>
      </c>
      <c r="D37" s="41">
        <f>D23*F14</f>
        <v>282.14146815727867</v>
      </c>
      <c r="E37" s="41">
        <f>SUM(B37:D37)</f>
        <v>1313.8362325434105</v>
      </c>
      <c r="F37" s="43">
        <f>E37-E30</f>
        <v>0</v>
      </c>
      <c r="G37">
        <v>97</v>
      </c>
      <c r="H37" s="42">
        <v>-1.1446570549476291</v>
      </c>
      <c r="J37" s="42">
        <v>-300</v>
      </c>
      <c r="K37" s="33">
        <v>-144.79538508155088</v>
      </c>
      <c r="L37" s="42">
        <v>-155.20461491844799</v>
      </c>
      <c r="M37" s="42">
        <v>-17.204614918449806</v>
      </c>
      <c r="N37" s="42">
        <v>5.7647610067508026</v>
      </c>
      <c r="O37" s="42">
        <v>-1.1446570549476291</v>
      </c>
    </row>
    <row r="38" spans="1:15" x14ac:dyDescent="0.2">
      <c r="A38" s="47" t="s">
        <v>42</v>
      </c>
      <c r="B38" s="33">
        <f>B$23*1</f>
        <v>15</v>
      </c>
      <c r="C38" s="41">
        <f>C$23*F5</f>
        <v>-53.615675752552171</v>
      </c>
      <c r="D38" s="41">
        <f>D24*F15</f>
        <v>0</v>
      </c>
      <c r="E38" s="41">
        <f>SUM(B38:D38)</f>
        <v>-38.615675752552171</v>
      </c>
      <c r="G38" s="33">
        <v>98</v>
      </c>
      <c r="H38" s="42">
        <v>-0.5526864295040923</v>
      </c>
      <c r="J38" s="42">
        <v>-200</v>
      </c>
      <c r="K38" s="33">
        <v>-100.1168347142077</v>
      </c>
      <c r="L38" s="42">
        <v>-99.88316528579162</v>
      </c>
      <c r="M38" s="42">
        <v>-7.8831652857925292</v>
      </c>
      <c r="N38" s="42">
        <v>2.7795697426799393</v>
      </c>
      <c r="O38" s="42">
        <v>-0.5526864295040923</v>
      </c>
    </row>
    <row r="39" spans="1:15" x14ac:dyDescent="0.2">
      <c r="A39" s="47" t="s">
        <v>43</v>
      </c>
      <c r="B39" s="33">
        <v>0</v>
      </c>
      <c r="C39" s="41">
        <f>C$23*F6</f>
        <v>-3.5237494598328034</v>
      </c>
      <c r="D39" s="41">
        <f>D25*F16</f>
        <v>0</v>
      </c>
      <c r="E39" s="41">
        <f>SUM(B39:D39)</f>
        <v>-3.5237494598328034</v>
      </c>
      <c r="G39">
        <v>99</v>
      </c>
      <c r="H39" s="42">
        <v>-0.21555086559214942</v>
      </c>
      <c r="J39" s="42">
        <v>-100</v>
      </c>
      <c r="K39" s="33">
        <v>-51.844283594024887</v>
      </c>
      <c r="L39" s="42">
        <v>-48.15571640597409</v>
      </c>
      <c r="M39" s="42">
        <v>-2.1557164059749994</v>
      </c>
      <c r="N39" s="42">
        <v>0.79960594209956071</v>
      </c>
      <c r="O39" s="42">
        <v>-0.21555086559214942</v>
      </c>
    </row>
    <row r="40" spans="1:15" x14ac:dyDescent="0.2">
      <c r="A40" s="47" t="s">
        <v>44</v>
      </c>
      <c r="B40" s="33">
        <v>0</v>
      </c>
      <c r="C40" s="41">
        <f>C$23*F7</f>
        <v>-11.198863013888172</v>
      </c>
      <c r="D40" s="41">
        <f>D26*F17</f>
        <v>0.28230979928470362</v>
      </c>
      <c r="E40" s="41">
        <f>SUM(B40:D40)</f>
        <v>-10.916553214603468</v>
      </c>
      <c r="G40" s="33">
        <v>100</v>
      </c>
      <c r="H40" s="42">
        <v>0</v>
      </c>
      <c r="J40" s="42">
        <v>0</v>
      </c>
      <c r="K40" s="33">
        <v>0</v>
      </c>
      <c r="L40" s="42">
        <v>0</v>
      </c>
      <c r="M40" s="42">
        <v>0</v>
      </c>
      <c r="N40" s="42">
        <v>0</v>
      </c>
      <c r="O40" s="42">
        <v>0</v>
      </c>
    </row>
    <row r="41" spans="1:15" x14ac:dyDescent="0.2">
      <c r="G41">
        <v>101</v>
      </c>
      <c r="H41" s="42">
        <v>0.22927180049828166</v>
      </c>
      <c r="J41" s="42">
        <v>100</v>
      </c>
      <c r="K41" s="33">
        <v>55.365904916147429</v>
      </c>
      <c r="L41" s="42">
        <v>44.634095083853026</v>
      </c>
      <c r="M41" s="42">
        <v>-1.3659049161478833</v>
      </c>
      <c r="N41" s="42">
        <v>0.54820641055317765</v>
      </c>
      <c r="O41" s="42">
        <v>0.22927180049828166</v>
      </c>
    </row>
    <row r="42" spans="1:15" x14ac:dyDescent="0.2">
      <c r="G42" s="33">
        <v>102</v>
      </c>
      <c r="H42" s="42">
        <v>0.60644966388667854</v>
      </c>
      <c r="J42" s="42">
        <v>200</v>
      </c>
      <c r="K42" s="33">
        <v>114.17746493347067</v>
      </c>
      <c r="L42" s="42">
        <v>85.822535066530691</v>
      </c>
      <c r="M42" s="42">
        <v>-6.1774649334711285</v>
      </c>
      <c r="N42" s="42">
        <v>2.6003797006252967</v>
      </c>
      <c r="O42" s="42">
        <v>0.60644966388667854</v>
      </c>
    </row>
    <row r="43" spans="1:15" x14ac:dyDescent="0.2">
      <c r="G43">
        <v>103</v>
      </c>
      <c r="H43" s="42">
        <v>1.2615944965777999</v>
      </c>
      <c r="J43" s="42">
        <v>300</v>
      </c>
      <c r="K43" s="33">
        <v>176.33532692544725</v>
      </c>
      <c r="L43" s="42">
        <v>123.66467307455241</v>
      </c>
      <c r="M43" s="42">
        <v>-14.335326925447589</v>
      </c>
      <c r="N43" s="42">
        <v>6.2981686180963834</v>
      </c>
      <c r="O43" s="42">
        <v>1.2615944965777999</v>
      </c>
    </row>
    <row r="44" spans="1:15" x14ac:dyDescent="0.2">
      <c r="G44" s="33">
        <v>104</v>
      </c>
      <c r="H44" s="42">
        <v>2.3179132421669237</v>
      </c>
      <c r="J44" s="42">
        <v>400</v>
      </c>
      <c r="K44" s="33">
        <v>241.71958640931734</v>
      </c>
      <c r="L44" s="42">
        <v>158.28041359068266</v>
      </c>
      <c r="M44" s="42">
        <v>-25.719586409317344</v>
      </c>
      <c r="N44" s="42">
        <v>11.766026318198556</v>
      </c>
      <c r="O44" s="42">
        <v>2.3179132421669237</v>
      </c>
    </row>
    <row r="45" spans="1:15" x14ac:dyDescent="0.2">
      <c r="G45">
        <v>105</v>
      </c>
      <c r="H45" s="42">
        <v>3.8893847904896575</v>
      </c>
      <c r="J45" s="42">
        <v>500</v>
      </c>
      <c r="K45" s="33">
        <v>310.19287429046688</v>
      </c>
      <c r="L45" s="42">
        <v>189.80712570953438</v>
      </c>
      <c r="M45" s="42">
        <v>-40.192874290467444</v>
      </c>
      <c r="N45" s="42">
        <v>19.109105198397856</v>
      </c>
      <c r="O45" s="42">
        <v>3.8893847904896575</v>
      </c>
    </row>
    <row r="46" spans="1:15" x14ac:dyDescent="0.2">
      <c r="G46" s="33">
        <v>106</v>
      </c>
      <c r="H46" s="42">
        <v>6.0788007345727237</v>
      </c>
      <c r="J46" s="42">
        <v>600</v>
      </c>
      <c r="K46" s="33">
        <v>381.60358095811591</v>
      </c>
      <c r="L46" s="42">
        <v>218.39641904188466</v>
      </c>
      <c r="M46" s="42">
        <v>-57.603580958116254</v>
      </c>
      <c r="N46" s="42">
        <v>28.411774958228875</v>
      </c>
      <c r="O46" s="42">
        <v>6.0788007345727237</v>
      </c>
    </row>
    <row r="47" spans="1:15" x14ac:dyDescent="0.2">
      <c r="G47">
        <v>107</v>
      </c>
      <c r="H47" s="42">
        <v>8.9762570082921229</v>
      </c>
      <c r="J47" s="42">
        <v>700</v>
      </c>
      <c r="K47" s="33">
        <v>455.78911097521836</v>
      </c>
      <c r="L47" s="42">
        <v>244.21088902478186</v>
      </c>
      <c r="M47" s="42">
        <v>-77.789110975219046</v>
      </c>
      <c r="N47" s="42">
        <v>39.736773228484822</v>
      </c>
      <c r="O47" s="42">
        <v>8.9762570082921229</v>
      </c>
    </row>
    <row r="48" spans="1:15" x14ac:dyDescent="0.2">
      <c r="G48" s="33">
        <v>108</v>
      </c>
      <c r="H48" s="42">
        <v>12.658109981391135</v>
      </c>
      <c r="J48" s="42">
        <v>800</v>
      </c>
      <c r="K48" s="33">
        <v>532.5790724481941</v>
      </c>
      <c r="L48" s="42">
        <v>267.42092755180602</v>
      </c>
      <c r="M48" s="42">
        <v>-100.57907244819489</v>
      </c>
      <c r="N48" s="42">
        <v>53.124971275574012</v>
      </c>
      <c r="O48" s="42">
        <v>12.658109981391135</v>
      </c>
    </row>
    <row r="49" spans="7:15" x14ac:dyDescent="0.2">
      <c r="G49">
        <v>109</v>
      </c>
      <c r="H49" s="42">
        <v>17.186390006725105</v>
      </c>
      <c r="J49" s="42">
        <v>900</v>
      </c>
      <c r="K49" s="33">
        <v>611.79831870596433</v>
      </c>
      <c r="L49" s="42">
        <v>288.20168129403646</v>
      </c>
      <c r="M49" s="42">
        <v>-125.79831870596445</v>
      </c>
      <c r="N49" s="42">
        <v>68.595714049249068</v>
      </c>
      <c r="O49" s="42">
        <v>17.186390006725105</v>
      </c>
    </row>
    <row r="50" spans="7:15" x14ac:dyDescent="0.2">
      <c r="G50" s="33">
        <v>110</v>
      </c>
      <c r="H50" s="42">
        <v>22.608647595132425</v>
      </c>
      <c r="J50" s="42">
        <v>1000</v>
      </c>
      <c r="K50" s="33">
        <v>693.26977511553093</v>
      </c>
      <c r="L50" s="42">
        <v>306.73022488446986</v>
      </c>
      <c r="M50" s="42">
        <v>-153.26977511553105</v>
      </c>
      <c r="N50" s="42">
        <v>86.147675033118389</v>
      </c>
      <c r="O50" s="42">
        <v>22.608647595132425</v>
      </c>
    </row>
    <row r="51" spans="7:15" x14ac:dyDescent="0.2">
      <c r="G51">
        <v>111</v>
      </c>
      <c r="H51" s="42">
        <v>28.958192929703728</v>
      </c>
      <c r="J51" s="42">
        <v>1100</v>
      </c>
      <c r="K51" s="33">
        <v>776.81699973710818</v>
      </c>
      <c r="L51" s="42">
        <v>323.18300026289216</v>
      </c>
      <c r="M51" s="42">
        <v>-182.81699973710874</v>
      </c>
      <c r="N51" s="42">
        <v>105.76015242661367</v>
      </c>
      <c r="O51" s="42">
        <v>28.958192929703728</v>
      </c>
    </row>
    <row r="52" spans="7:15" x14ac:dyDescent="0.2">
      <c r="G52" s="33">
        <v>112</v>
      </c>
      <c r="H52" s="42">
        <v>36.254678627072508</v>
      </c>
      <c r="J52" s="42">
        <v>1200</v>
      </c>
      <c r="K52" s="33">
        <v>862.26644222045286</v>
      </c>
      <c r="L52" s="42">
        <v>337.73355777954748</v>
      </c>
      <c r="M52" s="42">
        <v>-214.26644222045343</v>
      </c>
      <c r="N52" s="42">
        <v>127.39472422991219</v>
      </c>
      <c r="O52" s="42">
        <v>36.254678627072508</v>
      </c>
    </row>
    <row r="53" spans="7:15" x14ac:dyDescent="0.2">
      <c r="G53">
        <v>113</v>
      </c>
      <c r="H53" s="42">
        <v>44.504968551507545</v>
      </c>
      <c r="J53" s="42">
        <v>1300</v>
      </c>
      <c r="K53" s="33">
        <v>949.44938016024378</v>
      </c>
      <c r="L53" s="42">
        <v>350.55061983975611</v>
      </c>
      <c r="M53" s="42">
        <v>-247.44938016024389</v>
      </c>
      <c r="N53" s="42">
        <v>150.99717561254567</v>
      </c>
      <c r="O53" s="42">
        <v>44.504968551507545</v>
      </c>
    </row>
    <row r="54" spans="7:15" x14ac:dyDescent="0.2">
      <c r="G54" s="33">
        <v>114</v>
      </c>
      <c r="H54" s="42">
        <v>53.70423190811357</v>
      </c>
      <c r="J54" s="42">
        <v>1400</v>
      </c>
      <c r="K54" s="33">
        <v>1038.2035255236992</v>
      </c>
      <c r="L54" s="42">
        <v>361.79647447630123</v>
      </c>
      <c r="M54" s="42">
        <v>-282.20352552369968</v>
      </c>
      <c r="N54" s="42">
        <v>176.49961207106173</v>
      </c>
      <c r="O54" s="42">
        <v>53.70423190811357</v>
      </c>
    </row>
    <row r="55" spans="7:15" x14ac:dyDescent="0.2">
      <c r="G55">
        <v>115</v>
      </c>
      <c r="H55" s="42">
        <v>63.837201433311748</v>
      </c>
      <c r="J55" s="42">
        <v>1500</v>
      </c>
      <c r="K55" s="33">
        <v>1128.374305366237</v>
      </c>
      <c r="L55" s="42">
        <v>371.62569463376349</v>
      </c>
      <c r="M55" s="42">
        <v>-318.37430536623742</v>
      </c>
      <c r="N55" s="42">
        <v>203.82267569729231</v>
      </c>
      <c r="O55" s="42">
        <v>63.837201433311748</v>
      </c>
    </row>
  </sheetData>
  <mergeCells count="1">
    <mergeCell ref="L23:O23"/>
  </mergeCells>
  <phoneticPr fontId="0" type="noConversion"/>
  <pageMargins left="0.75" right="0.75" top="1" bottom="1" header="0.5" footer="0.5"/>
  <pageSetup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1"/>
  <sheetViews>
    <sheetView workbookViewId="0">
      <selection activeCell="D12" sqref="D12:K12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12.586206896551722</v>
      </c>
      <c r="J3" s="11"/>
      <c r="K3" s="11">
        <f>C5+0.001</f>
        <v>97.001000000000005</v>
      </c>
      <c r="L3" s="11">
        <f>(LN(K3/C6)+(I7-I9+C8^2/2)*C4)/(C8*C4^0.5)</f>
        <v>-0.17930324549243865</v>
      </c>
      <c r="M3" s="11">
        <f>EXP(-I9*C4)*NORMSDIST(L3)</f>
        <v>0.42884979930840089</v>
      </c>
      <c r="N3" s="12">
        <f>+(M3-1)*EXP(-I9*C4)</f>
        <v>-0.57115020069159916</v>
      </c>
    </row>
    <row r="4" spans="1:14" x14ac:dyDescent="0.2">
      <c r="A4" s="8" t="s">
        <v>12</v>
      </c>
      <c r="B4" s="14"/>
      <c r="C4" s="15">
        <f>+(C3-C2)/365</f>
        <v>7.9452054794520555E-2</v>
      </c>
      <c r="D4" s="11"/>
      <c r="E4" s="13" t="s">
        <v>13</v>
      </c>
      <c r="F4" s="16">
        <f>C5*EXP(-I9*C4)*NORMSDIST(I5)-C6*EXP(-I7*C4)*NORMSDIST(I5-C8*C4^0.5)</f>
        <v>3.2350985053231724</v>
      </c>
      <c r="G4" s="16">
        <f>+F4-C5*EXP(-I9*C4)+C6*EXP(-I7*C4)</f>
        <v>5.8482010100843951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f>C14</f>
        <v>97</v>
      </c>
      <c r="D5" s="11"/>
      <c r="E5" s="13" t="s">
        <v>19</v>
      </c>
      <c r="F5" s="16">
        <f>EXP(-I9*C4)*NORMSDIST(I5)</f>
        <v>0.42881390391101626</v>
      </c>
      <c r="G5" s="16">
        <f>F5-EXP(-I9*C4)</f>
        <v>-0.57118609608898374</v>
      </c>
      <c r="H5" s="11"/>
      <c r="I5" s="11">
        <f>(LN(C5/C6)+(I7-I9+C8^2/2)*C4)/(C8*C4^0.5)</f>
        <v>-0.17939468070294187</v>
      </c>
      <c r="J5" s="11"/>
      <c r="K5" s="11">
        <f>+C8+0.0001</f>
        <v>0.40010000000000001</v>
      </c>
      <c r="L5" s="11">
        <f>(LN(C5/C6)+(I7-I9+K5^2/2)*C4)/(K5*C4^0.5)</f>
        <v>-0.17932165952378434</v>
      </c>
      <c r="M5" s="11">
        <f>C5*EXP(-I9*C4)*NORMSDIST(I5)-C6*EXP(-I7*C4)*NORMSDIST(I5-K5*C4^0.5)</f>
        <v>3.236171862459436</v>
      </c>
      <c r="N5" s="12">
        <f>+M5-C5*EXP(-I9*C4)+C6*EXP(-I7*C4)</f>
        <v>5.8492743672206444</v>
      </c>
    </row>
    <row r="6" spans="1:14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3.589539738463321E-2</v>
      </c>
      <c r="G6" s="18">
        <f>+(N3-G5)/0.001</f>
        <v>3.5895397384577699E-2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0.1073357136263553</v>
      </c>
      <c r="G7" s="18">
        <f>+(N5-G4)/0.01</f>
        <v>0.10733571362493421</v>
      </c>
      <c r="H7" s="11"/>
      <c r="I7" s="11">
        <f>LN(1+C7)</f>
        <v>4.8790164169432049E-2</v>
      </c>
      <c r="J7" s="19">
        <f>+C2+1</f>
        <v>37197</v>
      </c>
      <c r="K7" s="11">
        <f>+(C3-J7)/365</f>
        <v>7.6712328767123292E-2</v>
      </c>
      <c r="L7" s="11">
        <f>(LN(C5/C6)+(I7-I9+C8^2/2)*K7)/(C8*K7^0.5)</f>
        <v>-0.18575496499390534</v>
      </c>
      <c r="M7" s="11">
        <f>C5*EXP(-I9*K7)*NORMSDIST(I5)-C6*EXP(-I7*K7)*NORMSDIST(I5-C8*K7^0.5)</f>
        <v>3.1552648786841573</v>
      </c>
      <c r="N7" s="12">
        <f>+M7-C5*EXP(-I9*K7)+C6*EXP(-I7*K7)</f>
        <v>5.7816837244608053</v>
      </c>
    </row>
    <row r="8" spans="1:14" x14ac:dyDescent="0.2">
      <c r="A8" s="8" t="s">
        <v>27</v>
      </c>
      <c r="B8" s="9"/>
      <c r="C8" s="20">
        <v>0.4</v>
      </c>
      <c r="D8" s="11"/>
      <c r="E8" s="13" t="s">
        <v>28</v>
      </c>
      <c r="F8" s="18">
        <f>+M7-F4</f>
        <v>-7.9833626639015165E-2</v>
      </c>
      <c r="G8" s="18">
        <f>+N7-G4</f>
        <v>-6.6517285623589828E-2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  <row r="12" spans="1:14" x14ac:dyDescent="0.2">
      <c r="A12" t="s">
        <v>49</v>
      </c>
      <c r="C12">
        <v>100</v>
      </c>
      <c r="D12" s="55" t="s">
        <v>66</v>
      </c>
      <c r="E12" s="55"/>
      <c r="F12" s="55"/>
      <c r="G12" s="55"/>
      <c r="H12" s="55"/>
      <c r="I12" s="55"/>
      <c r="J12" s="55"/>
      <c r="K12" s="55"/>
    </row>
    <row r="13" spans="1:14" x14ac:dyDescent="0.2">
      <c r="A13" t="s">
        <v>46</v>
      </c>
      <c r="C13">
        <v>3</v>
      </c>
    </row>
    <row r="14" spans="1:14" x14ac:dyDescent="0.2">
      <c r="A14" t="s">
        <v>50</v>
      </c>
      <c r="C14">
        <f>C12-C13</f>
        <v>97</v>
      </c>
    </row>
    <row r="16" spans="1:14" x14ac:dyDescent="0.2">
      <c r="A16" t="s">
        <v>47</v>
      </c>
      <c r="C16" s="26">
        <f>F4</f>
        <v>3.2350985053231724</v>
      </c>
    </row>
    <row r="17" spans="1:3" x14ac:dyDescent="0.2">
      <c r="A17" t="s">
        <v>48</v>
      </c>
      <c r="C17" s="26">
        <f>C12-C6</f>
        <v>0</v>
      </c>
    </row>
    <row r="19" spans="1:3" x14ac:dyDescent="0.2">
      <c r="A19" t="s">
        <v>51</v>
      </c>
      <c r="C19" s="26">
        <f>C17-C16</f>
        <v>-3.2350985053231724</v>
      </c>
    </row>
    <row r="20" spans="1:3" ht="13.5" thickBot="1" x14ac:dyDescent="0.25"/>
    <row r="21" spans="1:3" ht="13.5" thickBot="1" x14ac:dyDescent="0.25">
      <c r="C21" s="44" t="str">
        <f>IF(C19&gt;0,"Exercise now","Don't exercise early")</f>
        <v>Don't exercise early</v>
      </c>
    </row>
  </sheetData>
  <phoneticPr fontId="8" type="noConversion"/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Optcalc template</vt:lpstr>
      <vt:lpstr>one-way table</vt:lpstr>
      <vt:lpstr>2-way</vt:lpstr>
      <vt:lpstr>Option portfolio</vt:lpstr>
      <vt:lpstr>American call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sfiglews</cp:lastModifiedBy>
  <dcterms:created xsi:type="dcterms:W3CDTF">2002-11-07T22:26:22Z</dcterms:created>
  <dcterms:modified xsi:type="dcterms:W3CDTF">2019-05-17T19:20:06Z</dcterms:modified>
</cp:coreProperties>
</file>